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SECRETARIA DE ASSISTÊNCIA SOCIAL E CIDADANIA - SEMASC\CRAS JANDAIA\ORÇAMENTO\"/>
    </mc:Choice>
  </mc:AlternateContent>
  <xr:revisionPtr revIDLastSave="0" documentId="13_ncr:1_{2912B5CE-A59F-4B9C-929E-EAF4A08136FA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Orçamento Sintético" sheetId="1" state="hidden" r:id="rId1"/>
    <sheet name="CFF" sheetId="2" state="hidden" r:id="rId2"/>
    <sheet name="BDI" sheetId="3" r:id="rId3"/>
    <sheet name="CPU´S" sheetId="5" state="hidden" r:id="rId4"/>
    <sheet name="Plan1" sheetId="6" state="hidden" r:id="rId5"/>
    <sheet name="Plan2" sheetId="7" state="hidden" r:id="rId6"/>
  </sheets>
  <externalReferences>
    <externalReference r:id="rId7"/>
  </externalReferences>
  <definedNames>
    <definedName name="_xlnm.Print_Area" localSheetId="3">CPU´S!$B$3:$H$276</definedName>
    <definedName name="_xlnm.Print_Area" localSheetId="0">'Orçamento Sintético'!$A$1:$J$104</definedName>
    <definedName name="NCOMPOSICOES">27</definedName>
    <definedName name="TIPOORCAMENTO" hidden="1">IF(VALUE([1]MENU!$O$3)=2,"Licitado","Proposto")</definedName>
    <definedName name="_xlnm.Print_Titles" localSheetId="0">'Orçamento Sintético'!$1:$6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  <c r="B8" i="7" s="1"/>
  <c r="B2" i="7"/>
  <c r="L47" i="1" l="1"/>
  <c r="L34" i="1"/>
  <c r="M34" i="1" s="1"/>
  <c r="N9" i="1" l="1"/>
  <c r="O8" i="1" s="1"/>
  <c r="O9" i="1" s="1"/>
  <c r="N8" i="1"/>
  <c r="F269" i="5" l="1"/>
  <c r="H269" i="5" s="1"/>
  <c r="F270" i="5" l="1"/>
  <c r="H270" i="5" s="1"/>
  <c r="F266" i="5"/>
  <c r="F267" i="5" s="1"/>
  <c r="I268" i="5"/>
  <c r="J268" i="5" s="1"/>
  <c r="K268" i="5" s="1"/>
  <c r="D51" i="1"/>
  <c r="B51" i="1"/>
  <c r="H271" i="5" l="1"/>
  <c r="H272" i="5"/>
  <c r="H273" i="5"/>
  <c r="H274" i="5"/>
  <c r="F275" i="5"/>
  <c r="F276" i="5" s="1"/>
  <c r="H276" i="5" s="1"/>
  <c r="H275" i="5" l="1"/>
  <c r="H268" i="5" l="1"/>
  <c r="H267" i="5"/>
  <c r="H266" i="5"/>
  <c r="H265" i="5" l="1"/>
  <c r="G51" i="1"/>
  <c r="F62" i="1"/>
  <c r="F65" i="1" s="1"/>
  <c r="F61" i="1"/>
  <c r="F63" i="1" l="1"/>
  <c r="F64" i="1" s="1"/>
  <c r="N11" i="1"/>
  <c r="O11" i="1" s="1"/>
  <c r="O12" i="1" s="1"/>
  <c r="F8" i="1"/>
  <c r="F54" i="1" l="1"/>
  <c r="F103" i="1"/>
  <c r="F102" i="1"/>
  <c r="F101" i="1"/>
  <c r="F100" i="1"/>
  <c r="F99" i="1"/>
  <c r="F96" i="1"/>
  <c r="F95" i="1"/>
  <c r="F91" i="1" l="1"/>
  <c r="F90" i="1" l="1"/>
  <c r="F88" i="1"/>
  <c r="F89" i="1" s="1"/>
  <c r="F94" i="1" l="1"/>
  <c r="F85" i="1"/>
  <c r="F84" i="1"/>
  <c r="F77" i="1"/>
  <c r="F81" i="1" s="1"/>
  <c r="F76" i="1"/>
  <c r="F82" i="1"/>
  <c r="F75" i="1"/>
  <c r="F79" i="1" s="1"/>
  <c r="F55" i="1"/>
  <c r="F80" i="1" l="1"/>
  <c r="L82" i="1" s="1"/>
  <c r="D75" i="1"/>
  <c r="B75" i="1"/>
  <c r="F93" i="1" l="1"/>
  <c r="D50" i="1"/>
  <c r="H263" i="5"/>
  <c r="H262" i="5"/>
  <c r="H261" i="5"/>
  <c r="H260" i="5"/>
  <c r="H259" i="5"/>
  <c r="H258" i="5" l="1"/>
  <c r="G50" i="1" s="1"/>
  <c r="D48" i="1" l="1"/>
  <c r="H253" i="5" l="1"/>
  <c r="H256" i="5"/>
  <c r="H255" i="5"/>
  <c r="H254" i="5"/>
  <c r="H252" i="5"/>
  <c r="H251" i="5"/>
  <c r="H250" i="5"/>
  <c r="H249" i="5"/>
  <c r="H246" i="5"/>
  <c r="H245" i="5"/>
  <c r="H244" i="5"/>
  <c r="H242" i="5"/>
  <c r="H241" i="5"/>
  <c r="H240" i="5"/>
  <c r="H236" i="5"/>
  <c r="H237" i="5"/>
  <c r="H235" i="5"/>
  <c r="H232" i="5"/>
  <c r="H231" i="5"/>
  <c r="H228" i="5"/>
  <c r="H227" i="5" s="1"/>
  <c r="G103" i="1" s="1"/>
  <c r="H218" i="5"/>
  <c r="H219" i="5"/>
  <c r="H220" i="5"/>
  <c r="H221" i="5"/>
  <c r="H222" i="5"/>
  <c r="H223" i="5"/>
  <c r="H224" i="5"/>
  <c r="H225" i="5"/>
  <c r="H217" i="5"/>
  <c r="H207" i="5"/>
  <c r="H209" i="5"/>
  <c r="H210" i="5"/>
  <c r="H211" i="5"/>
  <c r="H212" i="5"/>
  <c r="H213" i="5"/>
  <c r="H214" i="5"/>
  <c r="H206" i="5"/>
  <c r="G101" i="1" s="1"/>
  <c r="H196" i="5"/>
  <c r="H197" i="5"/>
  <c r="H198" i="5"/>
  <c r="H199" i="5"/>
  <c r="H200" i="5"/>
  <c r="H201" i="5"/>
  <c r="H202" i="5"/>
  <c r="H203" i="5"/>
  <c r="H195" i="5"/>
  <c r="H190" i="5"/>
  <c r="H191" i="5"/>
  <c r="H192" i="5"/>
  <c r="H189" i="5"/>
  <c r="H181" i="5"/>
  <c r="H182" i="5"/>
  <c r="H183" i="5"/>
  <c r="H184" i="5"/>
  <c r="H186" i="5"/>
  <c r="H180" i="5"/>
  <c r="H171" i="5"/>
  <c r="H172" i="5"/>
  <c r="H173" i="5"/>
  <c r="H174" i="5"/>
  <c r="H175" i="5"/>
  <c r="H176" i="5"/>
  <c r="H177" i="5"/>
  <c r="H170" i="5"/>
  <c r="H158" i="5"/>
  <c r="H159" i="5"/>
  <c r="H160" i="5"/>
  <c r="H161" i="5"/>
  <c r="H162" i="5"/>
  <c r="H163" i="5"/>
  <c r="H164" i="5"/>
  <c r="H165" i="5"/>
  <c r="H166" i="5"/>
  <c r="H167" i="5"/>
  <c r="H157" i="5"/>
  <c r="H151" i="5"/>
  <c r="H152" i="5"/>
  <c r="H153" i="5"/>
  <c r="H154" i="5"/>
  <c r="H150" i="5"/>
  <c r="H147" i="5"/>
  <c r="H146" i="5"/>
  <c r="H133" i="5"/>
  <c r="H134" i="5"/>
  <c r="H135" i="5"/>
  <c r="H136" i="5"/>
  <c r="H137" i="5"/>
  <c r="H138" i="5"/>
  <c r="H139" i="5"/>
  <c r="H140" i="5"/>
  <c r="H141" i="5"/>
  <c r="H143" i="5"/>
  <c r="H132" i="5"/>
  <c r="H128" i="5"/>
  <c r="H129" i="5"/>
  <c r="H127" i="5"/>
  <c r="H114" i="5"/>
  <c r="H115" i="5"/>
  <c r="H116" i="5"/>
  <c r="H117" i="5"/>
  <c r="H118" i="5"/>
  <c r="H119" i="5"/>
  <c r="H120" i="5"/>
  <c r="H121" i="5"/>
  <c r="H122" i="5"/>
  <c r="H124" i="5"/>
  <c r="H113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90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67" i="5"/>
  <c r="H64" i="5"/>
  <c r="H63" i="5"/>
  <c r="H47" i="5"/>
  <c r="H48" i="5"/>
  <c r="H49" i="5"/>
  <c r="H50" i="5"/>
  <c r="H51" i="5"/>
  <c r="H52" i="5"/>
  <c r="H46" i="5"/>
  <c r="H42" i="5"/>
  <c r="H43" i="5"/>
  <c r="H41" i="5"/>
  <c r="H36" i="5"/>
  <c r="H37" i="5"/>
  <c r="H38" i="5"/>
  <c r="H35" i="5"/>
  <c r="H27" i="5"/>
  <c r="H28" i="5"/>
  <c r="H29" i="5"/>
  <c r="H30" i="5"/>
  <c r="H31" i="5"/>
  <c r="H32" i="5"/>
  <c r="H26" i="5"/>
  <c r="H16" i="5"/>
  <c r="H17" i="5"/>
  <c r="H18" i="5"/>
  <c r="H19" i="5"/>
  <c r="H20" i="5"/>
  <c r="H21" i="5"/>
  <c r="H22" i="5"/>
  <c r="H23" i="5"/>
  <c r="H15" i="5"/>
  <c r="H12" i="5"/>
  <c r="H11" i="5"/>
  <c r="H10" i="5"/>
  <c r="H9" i="5"/>
  <c r="H8" i="5"/>
  <c r="H7" i="5"/>
  <c r="H6" i="5"/>
  <c r="D243" i="5"/>
  <c r="H208" i="5"/>
  <c r="E208" i="5"/>
  <c r="D208" i="5"/>
  <c r="D142" i="5"/>
  <c r="D123" i="5"/>
  <c r="D55" i="5"/>
  <c r="H56" i="5"/>
  <c r="H57" i="5"/>
  <c r="H58" i="5"/>
  <c r="H59" i="5"/>
  <c r="H60" i="5"/>
  <c r="Y3" i="2"/>
  <c r="B5" i="2"/>
  <c r="B4" i="2"/>
  <c r="B3" i="2"/>
  <c r="B18" i="2"/>
  <c r="B20" i="2"/>
  <c r="B22" i="2"/>
  <c r="B24" i="2"/>
  <c r="B26" i="2"/>
  <c r="B28" i="2"/>
  <c r="A28" i="2"/>
  <c r="A26" i="2"/>
  <c r="A24" i="2"/>
  <c r="A22" i="2"/>
  <c r="A20" i="2"/>
  <c r="A18" i="2"/>
  <c r="B16" i="2"/>
  <c r="A16" i="2"/>
  <c r="B14" i="2"/>
  <c r="A14" i="2"/>
  <c r="B12" i="2"/>
  <c r="A12" i="2"/>
  <c r="B10" i="2"/>
  <c r="A10" i="2"/>
  <c r="H169" i="5" l="1"/>
  <c r="H248" i="5"/>
  <c r="G243" i="5" s="1"/>
  <c r="H145" i="5"/>
  <c r="G97" i="1" s="1"/>
  <c r="H234" i="5"/>
  <c r="G14" i="1" s="1"/>
  <c r="H126" i="5"/>
  <c r="G61" i="1" s="1"/>
  <c r="H230" i="5"/>
  <c r="G63" i="1" s="1"/>
  <c r="H66" i="5"/>
  <c r="G44" i="1" s="1"/>
  <c r="H89" i="5"/>
  <c r="H156" i="5"/>
  <c r="G74" i="1" s="1"/>
  <c r="H188" i="5"/>
  <c r="G91" i="1" s="1"/>
  <c r="H149" i="5"/>
  <c r="G67" i="1" s="1"/>
  <c r="H40" i="5"/>
  <c r="G21" i="1" s="1"/>
  <c r="H34" i="5"/>
  <c r="H45" i="5"/>
  <c r="H216" i="5"/>
  <c r="G102" i="1" s="1"/>
  <c r="H194" i="5"/>
  <c r="G99" i="1" s="1"/>
  <c r="H205" i="5"/>
  <c r="G100" i="1" s="1"/>
  <c r="H62" i="5"/>
  <c r="H25" i="5"/>
  <c r="H14" i="5"/>
  <c r="G19" i="1" s="1"/>
  <c r="H5" i="5"/>
  <c r="G17" i="1" s="1"/>
  <c r="G185" i="5" l="1"/>
  <c r="H185" i="5" s="1"/>
  <c r="H179" i="5" s="1"/>
  <c r="G84" i="1" s="1"/>
  <c r="G123" i="5"/>
  <c r="H123" i="5" s="1"/>
  <c r="H112" i="5" s="1"/>
  <c r="G47" i="1" s="1"/>
  <c r="G142" i="5"/>
  <c r="H142" i="5" s="1"/>
  <c r="H131" i="5" s="1"/>
  <c r="G48" i="1" s="1"/>
  <c r="G55" i="5"/>
  <c r="H55" i="5" s="1"/>
  <c r="H54" i="5" s="1"/>
  <c r="G62" i="1"/>
  <c r="H243" i="5"/>
  <c r="H239" i="5" s="1"/>
  <c r="G65" i="1" s="1"/>
  <c r="G75" i="1"/>
  <c r="J20" i="3" l="1"/>
  <c r="J14" i="3" s="1"/>
  <c r="J22" i="3" l="1"/>
  <c r="G3" i="1" l="1"/>
  <c r="H56" i="1" s="1"/>
  <c r="I56" i="1" s="1"/>
  <c r="J5" i="3"/>
  <c r="H48" i="1"/>
  <c r="I48" i="1" s="1"/>
  <c r="H86" i="1"/>
  <c r="I86" i="1" s="1"/>
  <c r="H9" i="1"/>
  <c r="I9" i="1" s="1"/>
  <c r="H44" i="1"/>
  <c r="I44" i="1" s="1"/>
  <c r="H38" i="1"/>
  <c r="I38" i="1" s="1"/>
  <c r="H62" i="1"/>
  <c r="I62" i="1" s="1"/>
  <c r="H99" i="1"/>
  <c r="I99" i="1" s="1"/>
  <c r="H57" i="1"/>
  <c r="I57" i="1" s="1"/>
  <c r="H69" i="1"/>
  <c r="I69" i="1" s="1"/>
  <c r="H84" i="1"/>
  <c r="I84" i="1" s="1"/>
  <c r="H90" i="1"/>
  <c r="I90" i="1" s="1"/>
  <c r="H34" i="1"/>
  <c r="I34" i="1" s="1"/>
  <c r="H13" i="1"/>
  <c r="I13" i="1" s="1"/>
  <c r="H14" i="1"/>
  <c r="I14" i="1" s="1"/>
  <c r="H93" i="1"/>
  <c r="I93" i="1" s="1"/>
  <c r="H52" i="1"/>
  <c r="I52" i="1" s="1"/>
  <c r="H60" i="1"/>
  <c r="I60" i="1" s="1"/>
  <c r="H50" i="1"/>
  <c r="I50" i="1" s="1"/>
  <c r="H91" i="1"/>
  <c r="I91" i="1" s="1"/>
  <c r="H100" i="1"/>
  <c r="I100" i="1" s="1"/>
  <c r="H31" i="1"/>
  <c r="I31" i="1" s="1"/>
  <c r="H68" i="1"/>
  <c r="I68" i="1" s="1"/>
  <c r="H89" i="1"/>
  <c r="I89" i="1" s="1"/>
  <c r="H11" i="1"/>
  <c r="I11" i="1" s="1"/>
  <c r="H17" i="1"/>
  <c r="I17" i="1" s="1"/>
  <c r="H32" i="1"/>
  <c r="I32" i="1" s="1"/>
  <c r="H71" i="1"/>
  <c r="I71" i="1" s="1"/>
  <c r="H12" i="1"/>
  <c r="I12" i="1" s="1"/>
  <c r="H72" i="1"/>
  <c r="I72" i="1" s="1"/>
  <c r="H49" i="1"/>
  <c r="I49" i="1" s="1"/>
  <c r="H73" i="1"/>
  <c r="I73" i="1" s="1"/>
  <c r="H15" i="1"/>
  <c r="I15" i="1" s="1"/>
  <c r="H77" i="1"/>
  <c r="I77" i="1" s="1"/>
  <c r="H80" i="1"/>
  <c r="I80" i="1" s="1"/>
  <c r="H43" i="1"/>
  <c r="I43" i="1" s="1"/>
  <c r="H40" i="1"/>
  <c r="I40" i="1" s="1"/>
  <c r="H101" i="1"/>
  <c r="I101" i="1" s="1"/>
  <c r="H21" i="1"/>
  <c r="I21" i="1" s="1"/>
  <c r="H92" i="1"/>
  <c r="I92" i="1" s="1"/>
  <c r="H75" i="1"/>
  <c r="I75" i="1" s="1"/>
  <c r="H76" i="1"/>
  <c r="I76" i="1" s="1"/>
  <c r="H59" i="1"/>
  <c r="I59" i="1" s="1"/>
  <c r="H41" i="1"/>
  <c r="I41" i="1" s="1"/>
  <c r="H39" i="1"/>
  <c r="I39" i="1" s="1"/>
  <c r="H42" i="1"/>
  <c r="I42" i="1" s="1"/>
  <c r="H58" i="1"/>
  <c r="I58" i="1" s="1"/>
  <c r="H19" i="1"/>
  <c r="I19" i="1" s="1"/>
  <c r="H23" i="1"/>
  <c r="I23" i="1" s="1"/>
  <c r="H46" i="1"/>
  <c r="I46" i="1" s="1"/>
  <c r="H79" i="1"/>
  <c r="I79" i="1" s="1"/>
  <c r="H96" i="1"/>
  <c r="I96" i="1" s="1"/>
  <c r="H64" i="1"/>
  <c r="I64" i="1" s="1"/>
  <c r="H51" i="1"/>
  <c r="I51" i="1" s="1"/>
  <c r="H37" i="1"/>
  <c r="I37" i="1" s="1"/>
  <c r="H97" i="1"/>
  <c r="I97" i="1" s="1"/>
  <c r="H25" i="1"/>
  <c r="I25" i="1" s="1"/>
  <c r="H53" i="1"/>
  <c r="I53" i="1" s="1"/>
  <c r="H81" i="1"/>
  <c r="I81" i="1" s="1"/>
  <c r="H20" i="1"/>
  <c r="I20" i="1" s="1"/>
  <c r="H63" i="1"/>
  <c r="I63" i="1" s="1"/>
  <c r="H36" i="1"/>
  <c r="I36" i="1" s="1"/>
  <c r="H47" i="1"/>
  <c r="I47" i="1" s="1"/>
  <c r="H26" i="1"/>
  <c r="I26" i="1" s="1"/>
  <c r="H54" i="1"/>
  <c r="I54" i="1" s="1"/>
  <c r="H82" i="1"/>
  <c r="I82" i="1" s="1"/>
  <c r="H18" i="1"/>
  <c r="I18" i="1" s="1"/>
  <c r="H94" i="1"/>
  <c r="I94" i="1" s="1"/>
  <c r="H24" i="1"/>
  <c r="I24" i="1" s="1"/>
  <c r="X4" i="2"/>
  <c r="H35" i="1" l="1"/>
  <c r="I35" i="1" s="1"/>
  <c r="H10" i="1"/>
  <c r="I10" i="1" s="1"/>
  <c r="H29" i="1"/>
  <c r="I29" i="1" s="1"/>
  <c r="H88" i="1"/>
  <c r="I88" i="1" s="1"/>
  <c r="H103" i="1"/>
  <c r="I103" i="1" s="1"/>
  <c r="H95" i="1"/>
  <c r="I95" i="1" s="1"/>
  <c r="H30" i="1"/>
  <c r="I30" i="1" s="1"/>
  <c r="H61" i="1"/>
  <c r="I61" i="1" s="1"/>
  <c r="H45" i="1"/>
  <c r="I45" i="1" s="1"/>
  <c r="H74" i="1"/>
  <c r="I74" i="1" s="1"/>
  <c r="I70" i="1" s="1"/>
  <c r="C20" i="2" s="1"/>
  <c r="O20" i="2" s="1"/>
  <c r="H8" i="1"/>
  <c r="I8" i="1" s="1"/>
  <c r="I7" i="1" s="1"/>
  <c r="C10" i="2" s="1"/>
  <c r="H85" i="1"/>
  <c r="I85" i="1" s="1"/>
  <c r="I83" i="1" s="1"/>
  <c r="C24" i="2" s="1"/>
  <c r="K24" i="2" s="1"/>
  <c r="H55" i="1"/>
  <c r="I55" i="1" s="1"/>
  <c r="H28" i="1"/>
  <c r="I28" i="1" s="1"/>
  <c r="H102" i="1"/>
  <c r="I102" i="1" s="1"/>
  <c r="H67" i="1"/>
  <c r="I67" i="1" s="1"/>
  <c r="I66" i="1" s="1"/>
  <c r="C18" i="2" s="1"/>
  <c r="U18" i="2" s="1"/>
  <c r="H27" i="1"/>
  <c r="I27" i="1" s="1"/>
  <c r="I22" i="1" s="1"/>
  <c r="C14" i="2" s="1"/>
  <c r="W14" i="2" s="1"/>
  <c r="H65" i="1"/>
  <c r="I65" i="1" s="1"/>
  <c r="I78" i="1"/>
  <c r="C22" i="2" s="1"/>
  <c r="G22" i="2" s="1"/>
  <c r="I98" i="1"/>
  <c r="C28" i="2" s="1"/>
  <c r="G28" i="2" s="1"/>
  <c r="I16" i="1"/>
  <c r="C12" i="2" s="1"/>
  <c r="I87" i="1"/>
  <c r="C26" i="2" s="1"/>
  <c r="S26" i="2" s="1"/>
  <c r="I33" i="1" l="1"/>
  <c r="C16" i="2" s="1"/>
  <c r="M16" i="2" s="1"/>
  <c r="W22" i="2"/>
  <c r="E22" i="2"/>
  <c r="K18" i="2"/>
  <c r="E18" i="2"/>
  <c r="M18" i="2"/>
  <c r="O18" i="2"/>
  <c r="K22" i="2"/>
  <c r="O22" i="2"/>
  <c r="M22" i="2"/>
  <c r="M24" i="2"/>
  <c r="Q22" i="2"/>
  <c r="O24" i="2"/>
  <c r="I22" i="2"/>
  <c r="S22" i="2"/>
  <c r="G24" i="2"/>
  <c r="I24" i="2"/>
  <c r="Q24" i="2"/>
  <c r="W24" i="2"/>
  <c r="M26" i="2"/>
  <c r="S24" i="2"/>
  <c r="U24" i="2"/>
  <c r="E26" i="2"/>
  <c r="I26" i="2"/>
  <c r="W26" i="2"/>
  <c r="W20" i="2"/>
  <c r="E24" i="2"/>
  <c r="I14" i="2"/>
  <c r="S20" i="2"/>
  <c r="U14" i="2"/>
  <c r="K26" i="2"/>
  <c r="U20" i="2"/>
  <c r="K14" i="2"/>
  <c r="G26" i="2"/>
  <c r="G20" i="2"/>
  <c r="I18" i="2"/>
  <c r="S18" i="2"/>
  <c r="Q18" i="2"/>
  <c r="G18" i="2"/>
  <c r="W18" i="2"/>
  <c r="M20" i="2"/>
  <c r="G14" i="2"/>
  <c r="U26" i="2"/>
  <c r="M14" i="2"/>
  <c r="Q20" i="2"/>
  <c r="E20" i="2"/>
  <c r="S14" i="2"/>
  <c r="E14" i="2"/>
  <c r="O14" i="2"/>
  <c r="Q14" i="2"/>
  <c r="O26" i="2"/>
  <c r="Q26" i="2"/>
  <c r="O16" i="2"/>
  <c r="Q16" i="2"/>
  <c r="I16" i="2"/>
  <c r="U16" i="2"/>
  <c r="W16" i="2"/>
  <c r="E28" i="2"/>
  <c r="W28" i="2"/>
  <c r="U28" i="2"/>
  <c r="M28" i="2"/>
  <c r="K28" i="2"/>
  <c r="I28" i="2"/>
  <c r="O12" i="2"/>
  <c r="S12" i="2"/>
  <c r="E12" i="2"/>
  <c r="Q12" i="2"/>
  <c r="U12" i="2"/>
  <c r="G12" i="2"/>
  <c r="E10" i="2"/>
  <c r="S10" i="2"/>
  <c r="Q10" i="2"/>
  <c r="O10" i="2"/>
  <c r="U10" i="2"/>
  <c r="M12" i="2"/>
  <c r="I12" i="2"/>
  <c r="W10" i="2"/>
  <c r="K10" i="2"/>
  <c r="K12" i="2"/>
  <c r="W12" i="2"/>
  <c r="G10" i="2"/>
  <c r="M10" i="2"/>
  <c r="I10" i="2"/>
  <c r="C30" i="2"/>
  <c r="D10" i="2" s="1"/>
  <c r="K16" i="2" l="1"/>
  <c r="S16" i="2"/>
  <c r="H104" i="1"/>
  <c r="J42" i="1" s="1"/>
  <c r="E16" i="2"/>
  <c r="G16" i="2"/>
  <c r="Y22" i="2"/>
  <c r="Y24" i="2"/>
  <c r="J56" i="1"/>
  <c r="J49" i="1"/>
  <c r="J81" i="1"/>
  <c r="J69" i="1"/>
  <c r="J37" i="1"/>
  <c r="J47" i="1"/>
  <c r="J7" i="1"/>
  <c r="J95" i="1"/>
  <c r="J24" i="1"/>
  <c r="J50" i="1"/>
  <c r="J89" i="1"/>
  <c r="J79" i="1"/>
  <c r="J97" i="1"/>
  <c r="J30" i="1"/>
  <c r="J91" i="1"/>
  <c r="J60" i="1"/>
  <c r="J17" i="1"/>
  <c r="J29" i="1"/>
  <c r="J10" i="1"/>
  <c r="J55" i="1"/>
  <c r="J8" i="1"/>
  <c r="J11" i="1"/>
  <c r="J18" i="1"/>
  <c r="J9" i="1"/>
  <c r="J67" i="1"/>
  <c r="J12" i="1"/>
  <c r="J70" i="1"/>
  <c r="J52" i="1"/>
  <c r="J57" i="1"/>
  <c r="J78" i="1"/>
  <c r="J54" i="1"/>
  <c r="J100" i="1"/>
  <c r="J16" i="1"/>
  <c r="J48" i="1"/>
  <c r="J13" i="1"/>
  <c r="J86" i="1"/>
  <c r="J21" i="1"/>
  <c r="J83" i="1"/>
  <c r="J22" i="1"/>
  <c r="J80" i="1"/>
  <c r="J98" i="1"/>
  <c r="J34" i="1"/>
  <c r="J94" i="1"/>
  <c r="J27" i="1"/>
  <c r="J90" i="1"/>
  <c r="J33" i="1"/>
  <c r="J53" i="1"/>
  <c r="J19" i="1"/>
  <c r="J101" i="1"/>
  <c r="J66" i="1"/>
  <c r="J31" i="1"/>
  <c r="J36" i="1"/>
  <c r="J61" i="1"/>
  <c r="J93" i="1"/>
  <c r="J102" i="1"/>
  <c r="Y18" i="2"/>
  <c r="J77" i="1"/>
  <c r="J15" i="1"/>
  <c r="J32" i="1"/>
  <c r="J68" i="1"/>
  <c r="J103" i="1"/>
  <c r="J43" i="1"/>
  <c r="J92" i="1"/>
  <c r="J28" i="1"/>
  <c r="J46" i="1"/>
  <c r="J23" i="1"/>
  <c r="I5" i="1"/>
  <c r="J41" i="1"/>
  <c r="J62" i="1"/>
  <c r="J63" i="1"/>
  <c r="J65" i="1"/>
  <c r="J51" i="1"/>
  <c r="J64" i="1"/>
  <c r="J39" i="1"/>
  <c r="Y20" i="2"/>
  <c r="J38" i="1"/>
  <c r="Y14" i="2"/>
  <c r="Y26" i="2"/>
  <c r="Y28" i="2"/>
  <c r="E30" i="2"/>
  <c r="E31" i="2" s="1"/>
  <c r="U30" i="2"/>
  <c r="V30" i="2" s="1"/>
  <c r="O30" i="2"/>
  <c r="P30" i="2" s="1"/>
  <c r="S30" i="2"/>
  <c r="T30" i="2" s="1"/>
  <c r="Q30" i="2"/>
  <c r="R30" i="2" s="1"/>
  <c r="Y12" i="2"/>
  <c r="W30" i="2"/>
  <c r="X30" i="2" s="1"/>
  <c r="Y10" i="2"/>
  <c r="K30" i="2"/>
  <c r="L30" i="2" s="1"/>
  <c r="G30" i="2"/>
  <c r="H30" i="2" s="1"/>
  <c r="M30" i="2"/>
  <c r="N30" i="2" s="1"/>
  <c r="I30" i="2"/>
  <c r="J30" i="2" s="1"/>
  <c r="D26" i="2"/>
  <c r="D28" i="2"/>
  <c r="D12" i="2"/>
  <c r="D24" i="2"/>
  <c r="D14" i="2"/>
  <c r="D22" i="2"/>
  <c r="D18" i="2"/>
  <c r="D20" i="2"/>
  <c r="D16" i="2"/>
  <c r="J58" i="1" l="1"/>
  <c r="J20" i="1"/>
  <c r="J71" i="1"/>
  <c r="J84" i="1"/>
  <c r="Y16" i="2"/>
  <c r="J45" i="1"/>
  <c r="J44" i="1"/>
  <c r="J99" i="1"/>
  <c r="J82" i="1"/>
  <c r="J87" i="1"/>
  <c r="J14" i="1"/>
  <c r="J96" i="1"/>
  <c r="J26" i="1"/>
  <c r="J88" i="1"/>
  <c r="J25" i="1"/>
  <c r="J85" i="1"/>
  <c r="J73" i="1"/>
  <c r="J40" i="1"/>
  <c r="J74" i="1"/>
  <c r="J35" i="1"/>
  <c r="J75" i="1"/>
  <c r="J59" i="1"/>
  <c r="J76" i="1"/>
  <c r="J72" i="1"/>
  <c r="F30" i="2"/>
  <c r="D30" i="2"/>
  <c r="F31" i="2"/>
  <c r="G31" i="2"/>
  <c r="H31" i="2" l="1"/>
  <c r="I31" i="2"/>
  <c r="J31" i="2" l="1"/>
  <c r="K31" i="2"/>
  <c r="L31" i="2" l="1"/>
  <c r="M31" i="2"/>
  <c r="N31" i="2" l="1"/>
  <c r="O31" i="2"/>
  <c r="P31" i="2" l="1"/>
  <c r="Q31" i="2"/>
  <c r="R31" i="2" l="1"/>
  <c r="S31" i="2"/>
  <c r="T31" i="2" l="1"/>
  <c r="U31" i="2"/>
  <c r="W31" i="2" l="1"/>
  <c r="X31" i="2" s="1"/>
  <c r="V31" i="2"/>
</calcChain>
</file>

<file path=xl/sharedStrings.xml><?xml version="1.0" encoding="utf-8"?>
<sst xmlns="http://schemas.openxmlformats.org/spreadsheetml/2006/main" count="1762" uniqueCount="860">
  <si>
    <t>Bancos</t>
  </si>
  <si>
    <t>B.D.I.</t>
  </si>
  <si>
    <t>Encargos Sociais</t>
  </si>
  <si>
    <t>Desonerado: embutido nos preços unitário dos insumos de mão de obra, de acordo com as bases.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</si>
  <si>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</si>
  <si>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</si>
  <si>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</si>
  <si>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</si>
  <si>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</si>
  <si>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</si>
  <si>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</si>
  <si>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</si>
  <si>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</si>
  <si>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</si>
  <si>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1.1.1. </t>
  </si>
  <si>
    <t xml:space="preserve"> 93567 </t>
  </si>
  <si>
    <t>SINAPI</t>
  </si>
  <si>
    <t>ENGENHEIRO CIVIL DE OBRA PLENO COM ENCARGOS COMPLEMENTARES</t>
  </si>
  <si>
    <t xml:space="preserve"> 1.1.2. </t>
  </si>
  <si>
    <t xml:space="preserve"> 93563 </t>
  </si>
  <si>
    <t>ALMOXARIFE COM ENCARGOS COMPLEMENTARES</t>
  </si>
  <si>
    <t xml:space="preserve"> 94295 </t>
  </si>
  <si>
    <t>MESTRE DE OBRAS COM ENCARGOS COMPLEMENTARES</t>
  </si>
  <si>
    <t xml:space="preserve"> 90781 </t>
  </si>
  <si>
    <t>TOPOGRAFO COM ENCARGOS COMPLEMENTARES</t>
  </si>
  <si>
    <t>H</t>
  </si>
  <si>
    <t xml:space="preserve"> 88326 </t>
  </si>
  <si>
    <t>VIGIA NOTURNO COM ENCARGOS COMPLEMENTARES</t>
  </si>
  <si>
    <t xml:space="preserve"> 88253 </t>
  </si>
  <si>
    <t>AUXILIAR DE TOPÓGRAFO COM ENCARGOS COMPLEMENTARES</t>
  </si>
  <si>
    <t xml:space="preserve"> 1.2 </t>
  </si>
  <si>
    <t>SERVIÇOS PRELIMINARES</t>
  </si>
  <si>
    <t xml:space="preserve"> 1.2.2. </t>
  </si>
  <si>
    <t xml:space="preserve"> 00010775 </t>
  </si>
  <si>
    <t>LOCACAO DE CONTAINER 2,30  X  6,00 M, ALT. 2,50 M, COM 1 SANITARIO, PARA ESCRITORIO, COMPLETO, SEM DIVISORIAS INTERNAS</t>
  </si>
  <si>
    <t xml:space="preserve"> 1.2.4. </t>
  </si>
  <si>
    <t xml:space="preserve"> 00013244 </t>
  </si>
  <si>
    <t>CONE DE SINALIZACAO EM PVC RIGIDO COM FAIXA REFLETIVA, H = 70 / 76 CM</t>
  </si>
  <si>
    <t xml:space="preserve"> 1.3 </t>
  </si>
  <si>
    <t>MICRODRENAGEM - TERRAPLENAGEM</t>
  </si>
  <si>
    <t>m³</t>
  </si>
  <si>
    <t xml:space="preserve"> 90084 </t>
  </si>
  <si>
    <t>ESCAVAÇÃO MECANIZADA DE VALA COM PROF. MAIOR QUE 1,5 M ATÉ 3,0 M (MÉDIA ENTRE MONTANTE E JUSANTE/UMA COMPOSIÇÃO POR TRECHO), COM ESCAVADEIRA HIDRÁULICA (0,8 M3/111 HP), LARGURA ATÉ 1,5 M, EM SOLO DE 1A CATEGORIA, EM LOCAIS COM ALTO NÍVEL DE INTERFERÊNCIA. AF_02/2021</t>
  </si>
  <si>
    <t xml:space="preserve"> 93358 </t>
  </si>
  <si>
    <t>ESCAVAÇÃO MANUAL DE VALA COM PROFUNDIDADE MENOR OU IGUAL A 1,30 M. AF_02/2021</t>
  </si>
  <si>
    <t xml:space="preserve"> 101573 </t>
  </si>
  <si>
    <t>ESCORAMENTO DE VALA, TIPO PONTALETEAMENTO, COM PROFUNDIDADE DE 1,5 A 3,0 M, LARGURA MAIOR OU IGUAL A 1,5 M E MENOR QUE 2,5 M. AF_08/2020</t>
  </si>
  <si>
    <t>m²</t>
  </si>
  <si>
    <t xml:space="preserve"> 101579 </t>
  </si>
  <si>
    <t>ESCORAMENTO DE VALA, TIPO DESCONTÍNUO, COM PROFUNDIDADE DE 1,5 A 3,0 M, LARGURA MAIOR OU IGUAL A 1,5 M E MENOR QUE 2,5 M. AF_08/2020</t>
  </si>
  <si>
    <t xml:space="preserve"> 101617 </t>
  </si>
  <si>
    <t>PREPARO DE FUNDO DE VALA COM LARGURA MAIOR OU IGUAL A 1,5 M E MENOR QUE 2,5 M (ACERTO DO SOLO NATURAL). AF_08/2020</t>
  </si>
  <si>
    <t xml:space="preserve"> 93362 </t>
  </si>
  <si>
    <t>REATERRO MECANIZADO DE VALA COM ESCAVADEIRA HIDRÁULICA (CAPACIDADE DA CAÇAMBA: 0,8 M³ / POTÊNCIA: 111 HP), LARGURA DE 1,5 A 2,5 M, PROFUNDIDADE DE 1,5 A 3,0 M, COM SOLO DE 1ª CATEGORIA EM LOCAIS COM ALTO NÍVEL DE INTERFERÊNCIA. AF_04/2016</t>
  </si>
  <si>
    <t xml:space="preserve"> 93382 </t>
  </si>
  <si>
    <t>REATERRO MANUAL DE VALAS COM COMPACTAÇÃO MECANIZADA. AF_04/2016</t>
  </si>
  <si>
    <t xml:space="preserve"> 95876 </t>
  </si>
  <si>
    <t>TRANSPORTE COM CAMINHÃO BASCULANTE DE 14 M³, EM VIA URBANA PAVIMENTADA, DMT ATÉ 30 KM (UNIDADE: M3XKM). AF_07/2020</t>
  </si>
  <si>
    <t xml:space="preserve"> 100979 </t>
  </si>
  <si>
    <t>CARGA, MANOBRA E DESCARGA DE SOLOS E MATERIAIS GRANULARES EM CAMINHÃO BASCULANTE 14 M³ - CARGA COM ESCAVADEIRA HIDRÁULICA (CAÇAMBA DE 1,20 M³ / 155 HP) E DESCARGA LIVRE (UNIDADE: M3). AF_07/2020</t>
  </si>
  <si>
    <t xml:space="preserve"> 1.4 </t>
  </si>
  <si>
    <t>MICRODRENAGEM - DISPOSITIVOS AUXILIARES</t>
  </si>
  <si>
    <t>TUBO DE CONCRETO SIMPLES PARA AGUAS PLUVIAIS, CLASSE PS1, COM ENCAIXE PONTA E BOLSA, DIAMETRO NOMINAL DE 400 MM</t>
  </si>
  <si>
    <t>TUBO DE CONCRETO SIMPLES PARA AGUAS PLUVIAIS, CLASSE PS1, COM ENCAIXE PONTA E BOLSA, DIAMETRO NOMINAL DE 600 MM</t>
  </si>
  <si>
    <t>ASSENTAMENTO DE TUBO DE CONCRETO PARA REDES COLETORAS DE ÁGUAS PLUVIAIS, DIÂMETRO DE 600 MM, JUNTA RÍGIDA, INSTALADO EM LOCAL COM ALTO NÍVEL DE INTERFERÊNCIAS (NÃO INCLUI FORNECIMENTO). AF_12/2015</t>
  </si>
  <si>
    <t xml:space="preserve"> 99319 </t>
  </si>
  <si>
    <t>CHAMINÉ CIRCULAR PARA POÇO DE VISITA PARA DRENAGEM, EM ALVENARIA COM TIJOLOS CERÂMICOS MACIÇOS, DIÂMETRO INTERNO = 0,6 M. AF_12/2020</t>
  </si>
  <si>
    <t xml:space="preserve"> 98114 </t>
  </si>
  <si>
    <t>TAMPA CIRCULAR PARA ESGOTO E DRENAGEM, EM FERRO FUNDIDO, DIÂMETRO INTERNO = 0,6 M. AF_12/2020</t>
  </si>
  <si>
    <t xml:space="preserve"> 100952 </t>
  </si>
  <si>
    <t>TRANSPORTE COM CAMINHÃO CARROCERIA COM GUINDAUTO (MUNCK),  MOMENTO MÁXIMO DE CARGA 11,7 TM, EM VIA URBANA PAVIMENTADA, DMT ATÉ 30KM (UNIDADE: TXKM). AF_07/2020</t>
  </si>
  <si>
    <t xml:space="preserve"> 100953 </t>
  </si>
  <si>
    <t>TRANSPORTE COM CAMINHÃO CARROCERIA COM GUINDAUTO (MUNCK),  MOMENTO MÁXIMO DE CARGA 11,7 TM, EM VIA URBANA PAVIMENTADA, ADICIONAL PARA DMT EXCEDENTE A 30 KM (UNIDADE: TXKM). AF_07/2020</t>
  </si>
  <si>
    <t xml:space="preserve"> 101014 </t>
  </si>
  <si>
    <t>CARGA, MANOBRA E DESCARGA DE TUBOS DE CONCRETO, DN 400 MM, EM CAMINHÃO CARROCERIA COM GUINDAUTO (MUNCK) 11,7 TM. AF_07/2020</t>
  </si>
  <si>
    <t>T</t>
  </si>
  <si>
    <t xml:space="preserve"> 101463 </t>
  </si>
  <si>
    <t>CARGA, MANOBRA E DESCARGA DE TUBOS DE CONCRETO, DN 600 MM, EM CAMINHÃO CARROCERIA COM GUINDAUTO (MUNCK) 11,7 TM. AF_07/2020</t>
  </si>
  <si>
    <t>IMPLANTAÇÃO ASFÁLTICA - TERRAPLENAGEM</t>
  </si>
  <si>
    <t xml:space="preserve"> 96385 </t>
  </si>
  <si>
    <t>EXECUÇÃO E COMPACTAÇÃO DE ATERRO COM SOLO PREDOMINANTEMENTE ARGILOSO - EXCLUSIVE SOLO, ESCAVAÇÃO, CARGA E TRANSPORTE. AF_11/2019</t>
  </si>
  <si>
    <t xml:space="preserve"> 1.6 </t>
  </si>
  <si>
    <t xml:space="preserve"> 100576 </t>
  </si>
  <si>
    <t>REGULARIZAÇÃO E COMPACTAÇÃO DE SUBLEITO DE SOLO  PREDOMINANTEMENTE ARGILOSO. AF_11/2019</t>
  </si>
  <si>
    <t xml:space="preserve"> 00004748 </t>
  </si>
  <si>
    <t xml:space="preserve"> 102332 </t>
  </si>
  <si>
    <t>TRANSPORTE COM CAMINHÃO TANQUE DE TRANSPORTE DE MATERIAL ASFÁLTICO DE 20000 L, EM VIA URBANA PAVIMENTADA, DMT ATÉ 30KM (UNIDADE: TXKM). AF_07/2020</t>
  </si>
  <si>
    <t xml:space="preserve"> 1.7 </t>
  </si>
  <si>
    <t>IMPLANTAÇÃO ASFÁLTICA - PAVIMENTAÇÃO DA CAPA</t>
  </si>
  <si>
    <t xml:space="preserve"> 1.7.1. </t>
  </si>
  <si>
    <t xml:space="preserve"> 97807 </t>
  </si>
  <si>
    <t>PAVIMENTO COM TRATAMENTO SUPERFICIAL DUPLO, COM EMULSÃO ASFÁLTICA RR-2C, COM CAPA SELANTE. AF_01/2020</t>
  </si>
  <si>
    <t xml:space="preserve"> 1.7.2. </t>
  </si>
  <si>
    <t xml:space="preserve"> 1.7.3. </t>
  </si>
  <si>
    <t xml:space="preserve"> 102333 </t>
  </si>
  <si>
    <t>TRANSPORTE COM CAMINHÃO TANQUE DE TRANSPORTE DE MATERIAL ASFÁLTICO DE 20000 L, EM VIA URBANA PAVIMENTADA, ADICIONAL PARA DMT EXCEDENTE A 30 KM (UNIDADE: TXKM). AF_07/2020</t>
  </si>
  <si>
    <t xml:space="preserve"> 1.7.4. </t>
  </si>
  <si>
    <t xml:space="preserve"> 1.8 </t>
  </si>
  <si>
    <t>SERVIÇOS COMPLEMENTARES</t>
  </si>
  <si>
    <t xml:space="preserve"> 1.8.2. </t>
  </si>
  <si>
    <t xml:space="preserve"> 1.8.3. </t>
  </si>
  <si>
    <t xml:space="preserve"> 1.9 </t>
  </si>
  <si>
    <t>PASSEIO COM ACESSIBILIDADE</t>
  </si>
  <si>
    <t xml:space="preserve"> 1.9.1. </t>
  </si>
  <si>
    <t xml:space="preserve"> 97084 </t>
  </si>
  <si>
    <t>COMPACTAÇÃO MECÂNICA DE SOLO PARA EXECUÇÃO DE RADIER, COM COMPACTADOR DE SOLOS TIPO PLACA VIBRATÓRIA. AF_09/2017</t>
  </si>
  <si>
    <t xml:space="preserve"> 1.9.2. </t>
  </si>
  <si>
    <t xml:space="preserve"> 100983 </t>
  </si>
  <si>
    <t>CARGA, MANOBRA E DESCARGA DE ENTULHO EM CAMINHÃO BASCULANTE 14 M³ - CARGA COM ESCAVADEIRA HIDRÁULICA  (CAÇAMBA DE 0,80 M³ / 111 HP) E DESCARGA LIVRE (UNIDADE: M3). AF_07/2020</t>
  </si>
  <si>
    <t xml:space="preserve"> 1.9.3. </t>
  </si>
  <si>
    <t xml:space="preserve"> 1.9.5. </t>
  </si>
  <si>
    <t xml:space="preserve"> 94962 </t>
  </si>
  <si>
    <t>CONCRETO MAGRO PARA LASTRO, TRAÇO 1:4,5:4,5 (EM MASSA SECA DE CIMENTO/ AREIA MÉDIA/ BRITA 1) - PREPARO MECÂNICO COM BETONEIRA 400 L. AF_05/2021</t>
  </si>
  <si>
    <t xml:space="preserve"> 1.9.6. </t>
  </si>
  <si>
    <t xml:space="preserve"> 92873 </t>
  </si>
  <si>
    <t>LANÇAMENTO COM USO DE BALDES, ADENSAMENTO E ACABAMENTO DE CONCRETO EM ESTRUTURAS. AF_12/2015</t>
  </si>
  <si>
    <t xml:space="preserve"> 1.9.7. </t>
  </si>
  <si>
    <t xml:space="preserve"> 94991 </t>
  </si>
  <si>
    <t>EXECUÇÃO DE PASSEIO (CALÇADA) OU PISO DE CONCRETO COM CONCRETO MOLDADO IN LOCO, USINADO, ACABAMENTO CONVENCIONAL, NÃO ARMADO. AF_07/2016</t>
  </si>
  <si>
    <t xml:space="preserve"> 1.9.8. </t>
  </si>
  <si>
    <t xml:space="preserve"> 100947 </t>
  </si>
  <si>
    <t>TRANSPORTE COM CAMINHÃO CARROCERIA 9T, EM VIA URBANA PAVIMENTADA, DMT ATÉ 30KM (UNIDADE: TXKM). AF_07/2020</t>
  </si>
  <si>
    <t xml:space="preserve"> 1.9.9. </t>
  </si>
  <si>
    <t xml:space="preserve"> 100948 </t>
  </si>
  <si>
    <t>TRANSPORTE COM CAMINHÃO CARROCERIA 9T, EM VIA URBANA PAVIMENTADA, ADICIONAL PARA DMT EXCEDENTE A 30 KM (UNIDADE: TXKM). AF_07/2020</t>
  </si>
  <si>
    <t xml:space="preserve"> 1.10 </t>
  </si>
  <si>
    <t>SINALIZAÇÃO VIÁRIA DEFINITIVA - HORIZONTAL E VERTICAL</t>
  </si>
  <si>
    <t xml:space="preserve"> 1.10.3. </t>
  </si>
  <si>
    <t xml:space="preserve"> 00013521 </t>
  </si>
  <si>
    <t>PLACA DE ACO ESMALTADA PARA  IDENTIFICACAO DE RUA, *45 CM X 20* CM</t>
  </si>
  <si>
    <t>Total Geral</t>
  </si>
  <si>
    <t>Composição</t>
  </si>
  <si>
    <t>V1</t>
  </si>
  <si>
    <t>Cotação</t>
  </si>
  <si>
    <t>E0</t>
  </si>
  <si>
    <t>CAMINHONETE - 71 A 115 CV (SEM MOTORISTA) (116,49h CPI + 66h CHP - 182,49h MDO)(REF. SINAPI COD. 92145)</t>
  </si>
  <si>
    <t>INSTRUMENTAL DE TOPOGRAFIA</t>
  </si>
  <si>
    <t>mês</t>
  </si>
  <si>
    <t>un.mês</t>
  </si>
  <si>
    <t>ADMINISTRAÇÃO LOCAL</t>
  </si>
  <si>
    <t xml:space="preserve"> 1.1</t>
  </si>
  <si>
    <t xml:space="preserve"> 1.2.1. </t>
  </si>
  <si>
    <t xml:space="preserve"> 1.2.3. </t>
  </si>
  <si>
    <t>PLACA DE IDENTIFICAÇÃO DE OBRA PÚBLICA, INCLUSIVE PINTURA E ADESIVOS, ESTRUTURA E  SUPORTE DE MADEIRA. FORNECIMENTO E COLOCAÇÃO.</t>
  </si>
  <si>
    <t xml:space="preserve">un </t>
  </si>
  <si>
    <t>m³xKm</t>
  </si>
  <si>
    <t>m</t>
  </si>
  <si>
    <t>TxKm</t>
  </si>
  <si>
    <t>SEGURANÇA DE TRÂNSITO - SINALIZAÇÃO DE ADVERTÊNCIA DE OBRA COM PLACA (FUNDO LARANJA) SOBRE CAVALETE, CONFORME ABNT - NBR-7678 SEGURANÇA NA EXECUÇÃO DE OBRAS E SERVIÇOS DE CONSTRUÇÃO MINISTÉRIO DO TRABALHO E DA PREVIDÊNCIA SOCIAL - NB-26 - SINALIZAÇÃO DE SEGURANÇA CONTRAN - MANUAL DE NOÇÕES DE NORMAS DE TRÂNSITO</t>
  </si>
  <si>
    <t>SP/0020</t>
  </si>
  <si>
    <t>1.2.5.</t>
  </si>
  <si>
    <t>SP/0050</t>
  </si>
  <si>
    <t>SONDAGEM DE INVESTIGAÇÃO DE INTERFERÊNCIAS SUBTERRÂNEAS, INCLUINDO ESCAVAÇÕES MECÂNICA E MANUAL E REATERRO</t>
  </si>
  <si>
    <t>SP/0060</t>
  </si>
  <si>
    <t>REPARO EM RAMAL DE LIGAÇÃO PREDIAL DE ÁGUA</t>
  </si>
  <si>
    <t>DR/0135</t>
  </si>
  <si>
    <t>PV-1 - POÇO DE VISITA, COM DIMENSÕES INTERNAS DE 1,98M X 1,98M X 1,50M (BXBXH), EM ALVENARIA DE BLOCO DE CONCRETO ESTRUTURAL FBK 14MPA, CONFORME PROJETO TIPO. EXCLUSIVE PESCOÇO E TAMPÃO</t>
  </si>
  <si>
    <t>DR/0205</t>
  </si>
  <si>
    <t>CP-1 - CAIXA DE PASSAGEM, COM DIMENSÕES INTERNAS DE  1,98M X 1,98M X 1,50M (BXBXH), EM ALVENARIA DE BLOCO DE CONCRETO ESTRUTURAL FBK 14MPA, CONFORME PROJETO TIPO</t>
  </si>
  <si>
    <t>DR/0265</t>
  </si>
  <si>
    <t>BLSC - BOCA-DE-LOBO SIMPLES EM CONCRETO SIMPLES FCK 20 MPA, INCLUINDO FORMA, ESCAVAÇÃO, SARJETA DE CONTORNO (CHAMA) EM CONCRETO E GRELHA EM F°F° TIPO PESADA, CONFORME PROJETO</t>
  </si>
  <si>
    <t>SR/0100</t>
  </si>
  <si>
    <t>RECORTE MECÂNICO DE PAVIMENTO ASFÁLTICO OU PISO DE CONCRETO, COM SERRA DE DISCO DIAMANTADO PARA PISO/ASFALTO</t>
  </si>
  <si>
    <t>SR/0010</t>
  </si>
  <si>
    <t>DEMOLIÇÃO DE PAVIMENTO, DE FORMA MANUAL, SEM REAPROVEITAMENTO (REFER. SICRO CÓD. 1600436)</t>
  </si>
  <si>
    <t>ST/0020</t>
  </si>
  <si>
    <t>CARGA MANUAL, MANOBRA E DESCARGA DE ENTULHO EM CAMINHÃO BASCULANTE 6M3 (REF. SICRO COD. 72897)</t>
  </si>
  <si>
    <t>RCP/001</t>
  </si>
  <si>
    <t>RECOMPOSOÇÃO DE PAVIMENTO COM BASE DE CASCALHO, E=15CM, E TRATAMENTO SUPERFICIAL DUPLO COM CAPA SELANTE</t>
  </si>
  <si>
    <t>PA/0005</t>
  </si>
  <si>
    <t>PREPARO DO SUBLEITO, ESCAVAÇÃO E CARGA. EXCLUSIVE TRANSPORTE</t>
  </si>
  <si>
    <t>PA/0021</t>
  </si>
  <si>
    <t>EXECUÇÃO E COMPACTAÇÃO DE BASE E OU SUB-BASE, 100% PM, ESTABILIZADO GRANULOMETRICAMENTE, SEM MISTURA, COM MATERIAL DE JAZIDA. EXCLUSIVE FORNECIMENTO E TRANSPORTE (REFER. SINAPI CÓD. 4011219)</t>
  </si>
  <si>
    <t>PA/0024</t>
  </si>
  <si>
    <t xml:space="preserve"> 1.8.1. </t>
  </si>
  <si>
    <t>SC/0005</t>
  </si>
  <si>
    <t>MEIO-FIO (GUIA) COM SARJETA, CONCRETO FCK = 15MPA, SEÇÃO 615 CM², MOLDADO NO LOCAL, INCLUSIVE ESCAVAÇÃO E PINTURA A CAL EM UMA DEMÃO</t>
  </si>
  <si>
    <t xml:space="preserve"> 1.9.4. </t>
  </si>
  <si>
    <t xml:space="preserve"> 1.9.10. </t>
  </si>
  <si>
    <t>SC/0080</t>
  </si>
  <si>
    <t>PISO TÁTIL DE ALERTA OU DIRECIONAL COM LAJOTA CIMENTÍCIA  40X40X2,5CM, NAS CORES DA NBR 16537, ASSENTADO COM ARGAMASSA DE CIMENTO E AREIA 1:3</t>
  </si>
  <si>
    <t>ST/0070</t>
  </si>
  <si>
    <t>CARGA, MANOBRA E DESCARGA DE MATERIAIS DIVERSOS EM CAMINHÃO CARROCERIA - CARGA E DESCAGA MANUAIS (REFER. SICRO CÓD.5915474)</t>
  </si>
  <si>
    <t xml:space="preserve"> 1.10.1. </t>
  </si>
  <si>
    <t xml:space="preserve"> 1.10.2. </t>
  </si>
  <si>
    <t xml:space="preserve"> 1.10.4. </t>
  </si>
  <si>
    <t xml:space="preserve"> 1.10.5. </t>
  </si>
  <si>
    <t>SV/0037</t>
  </si>
  <si>
    <t>PINTURA DE FAIXA - TINTA BASE ACRÍLICA EMULSIONADA EM ÁGUA - ESPESSURA DE 0,5 MM (REFER. SICRO CÓD. 5213403)</t>
  </si>
  <si>
    <t>SV/0012</t>
  </si>
  <si>
    <t>PINTURA DE SETAS E LEGENDAS - TINTA BASE ACRÍLICA EMULSIONADA EM ÁGUA - ESPESSURA DE 0,5 MM (REFER. SICRO CÓD. 5213407)</t>
  </si>
  <si>
    <t>SV/0090</t>
  </si>
  <si>
    <t>COLUNA SIMPLES DE 50,8 MM (2") DE DIÂMETRO, ESPESSURA DA PAREDE 2,75MM, ALTURA TOTAL DE 3500MM, EM AÇO GALVANIZADO POR IMERSÃO À QUENTE PARA SUPORTE DE PLACA DE SINALIZAÇÃO E FIXADO EM BASE DE CONCRETO NÃO ESTRUTURAL  - FORNECIMENTO E IMPLANTAÇÃO. INCLUSIVE SERVIÇO DE IMPLANTAÇÃO DA PLACA DE SINALIZAÇÃO</t>
  </si>
  <si>
    <t>SV/0105</t>
  </si>
  <si>
    <t>PLACA DE SINALIZAÇÃO DE ALUMÍNIO, ESPESSURA 1,5MM, COM FUNDO, SÍMBOLOS E TARJAS EM PELÍCULA REFLETIVA COM ESFERAS INCLUSAS TIPO I-A DA NBR 14644 (GT/GT), INCLUSIVE ELEMENTOS DE FIXAÇÃO, CONFORME ESPECIFICAÇÃO AGETRAN/PMCG - FORNECIMENTO</t>
  </si>
  <si>
    <t>OBRA:</t>
  </si>
  <si>
    <t>BDI</t>
  </si>
  <si>
    <t>ÁREA:</t>
  </si>
  <si>
    <t>LOCAL:</t>
  </si>
  <si>
    <t>PROP.:</t>
  </si>
  <si>
    <t>Parcela do BDI - Acórdão 2622/2013 - TCU</t>
  </si>
  <si>
    <t xml:space="preserve">AC = Taxa de Administração Central </t>
  </si>
  <si>
    <t>S e G = Taxas de Seguro e Garantia</t>
  </si>
  <si>
    <t>R = Taxa de Risco</t>
  </si>
  <si>
    <t>DF = Taxa de Despesas Financeiras</t>
  </si>
  <si>
    <t>L = Taxa de Lucro / Remuneração</t>
  </si>
  <si>
    <t>I = Taxa de incidência de Impostos (PIS, COFINS e ISS)</t>
  </si>
  <si>
    <t xml:space="preserve">Impostos </t>
  </si>
  <si>
    <t>6.1</t>
  </si>
  <si>
    <t>ISS</t>
  </si>
  <si>
    <t>6.2</t>
  </si>
  <si>
    <t>PIS</t>
  </si>
  <si>
    <t>6.3</t>
  </si>
  <si>
    <t>COFINS</t>
  </si>
  <si>
    <t>6.4</t>
  </si>
  <si>
    <t>CPRB</t>
  </si>
  <si>
    <t>Total Impostos =</t>
  </si>
  <si>
    <t>Fórmula para o cálculo de BDI</t>
  </si>
  <si>
    <t>Notas:</t>
  </si>
  <si>
    <t>Obs. Adequado ao Acordão 2622/2013 do TCU:</t>
  </si>
  <si>
    <r>
      <t xml:space="preserve">1) Alíquota de ISS é determinada pela “Relação de Serviços”  do município onde se prestará o serviço conforme </t>
    </r>
    <r>
      <rPr>
        <b/>
        <sz val="10"/>
        <rFont val="Calibri"/>
        <family val="2"/>
      </rPr>
      <t>"Cita-se a Lei Municipal do ISS"</t>
    </r>
    <r>
      <rPr>
        <sz val="10"/>
        <rFont val="Calibri"/>
        <family val="2"/>
      </rPr>
      <t>.</t>
    </r>
  </si>
  <si>
    <r>
      <t xml:space="preserve">
________________________________________________________
</t>
    </r>
    <r>
      <rPr>
        <i/>
        <sz val="10"/>
        <color indexed="8"/>
        <rFont val="Calibri"/>
        <family val="2"/>
      </rPr>
      <t>RESPONSÁVEL TÉCNICO</t>
    </r>
  </si>
  <si>
    <r>
      <t xml:space="preserve"> 
</t>
    </r>
    <r>
      <rPr>
        <sz val="14"/>
        <color theme="4"/>
        <rFont val="Arial"/>
        <family val="2"/>
      </rPr>
      <t>Tempo de trabalho e desenvolvimento</t>
    </r>
  </si>
  <si>
    <t>ÁREA</t>
  </si>
  <si>
    <t>INFRAESTRUTURA URBANA - PAVIMENTAÇÃO ASFÁLTICA E DRENAGEM - PROGRAMA AVANÇAR CIDADES</t>
  </si>
  <si>
    <t>VALOR TOTAL DA OBRA:</t>
  </si>
  <si>
    <t>PLANILHA ORÇAMENTÁRIA</t>
  </si>
  <si>
    <t>ITEM</t>
  </si>
  <si>
    <t>DESCRIÇÃO DO ITEM</t>
  </si>
  <si>
    <t>PERÍODO</t>
  </si>
  <si>
    <t>30 DIAS</t>
  </si>
  <si>
    <t>60 DIAS</t>
  </si>
  <si>
    <t>90 DIAS</t>
  </si>
  <si>
    <t>120 DIAS</t>
  </si>
  <si>
    <t>TOTAL</t>
  </si>
  <si>
    <t>VALOR (R$)</t>
  </si>
  <si>
    <t>%</t>
  </si>
  <si>
    <t>CRONOGRAMA FÍSICO-FINANCEIRO</t>
  </si>
  <si>
    <t>COMPOSIÇÃO</t>
  </si>
  <si>
    <t>PREFEITURA MUNICIPAL DE SIDROLÂNDIA</t>
  </si>
  <si>
    <t>150 DIAS</t>
  </si>
  <si>
    <t>180 DIAS</t>
  </si>
  <si>
    <t>VALOR TOTAL</t>
  </si>
  <si>
    <t>VALOR ACUMULADO</t>
  </si>
  <si>
    <t>M2</t>
  </si>
  <si>
    <t>SP/0025</t>
  </si>
  <si>
    <t>M</t>
  </si>
  <si>
    <t>SP/0030</t>
  </si>
  <si>
    <t>UN</t>
  </si>
  <si>
    <t>SR/0080</t>
  </si>
  <si>
    <t>M3</t>
  </si>
  <si>
    <t>COTAÇÃO</t>
  </si>
  <si>
    <t>SEL-011</t>
  </si>
  <si>
    <t>PA/0023</t>
  </si>
  <si>
    <t>SEL-004</t>
  </si>
  <si>
    <t>E9644</t>
  </si>
  <si>
    <t>M2044</t>
  </si>
  <si>
    <t>MAT099600 (SCO-RIO)</t>
  </si>
  <si>
    <t>UN.MÊS</t>
  </si>
  <si>
    <t>M²</t>
  </si>
  <si>
    <t>PLACA DE IDENTIFICAÇÃO DE OBRA PÚBLICA, INCLUSIVE PINTURA E ADESIVOS, ESTRUTURA E SUPORTE DE MADEIRA. FORNECIMENTO E COLOCAÇÃO</t>
  </si>
  <si>
    <t>SEGURANÇA DE TRÂNSITO - SINALIZAÇÃO DE ADVERTÊNCIA DE OBRA COM ELEMENTO LUMINOSO (BALDE VERMELHO)</t>
  </si>
  <si>
    <t>SEGURANÇA DE TRÂNSITO - ISOLAMENTO DE OBRA COM TELA CERQUITE PLÁTICA LARANJA CONFORME ABNT - NBR-7678 SEGURANÇA NA EXECUÇÃO DE OBRAS E SERVIÇOS DE CONSTRUÇÃO MINISTÉRIO DO TRABALHO E DA PREVIDÊNCIA SOCIAL - NB-26 - SINALIZAÇÃO DE SEGURANÇA CONTRAN - MANUAL DE NOÇÕES DE NORMAS DE TRÂNSITO</t>
  </si>
  <si>
    <t>DEMOLIÇÃO DE BOCA DE LOBO, INCLUINDO CARGA E BOTA-FORA DO ENTULHO E REATERRO DA CAVA</t>
  </si>
  <si>
    <t xml:space="preserve">BLSC - BOCA-DE-LOBO SIMPLES EM CONCRETO SIMPLES FCK 20 MPA, INCLUINDO FORMA, ESCAVAÇÃO, SARJETA DE CONTORNO (CHAMA) EM CONCRETO E GRELHA EM F°F° TIPO PESADA, CONFORME PROJETO </t>
  </si>
  <si>
    <t>PINTURA DE LIGAÇÃO, EXECUÇÃO E FORNECIMENTO DE EMULSÃO ASFÁLTICA RR-1C (REFER. SICRO CÓD. 4011353)</t>
  </si>
  <si>
    <t xml:space="preserve"> CAMINHONETE - 71 A 115 CV (SEM MOTORISTA) (116,49H CPI + 66H CHP - 182,49H MDO)(REF. SINAPI COD. 92145)</t>
  </si>
  <si>
    <t>CARPINTEIRO DE FORMAS COM ENCARGOS COMPLEMENTARES</t>
  </si>
  <si>
    <t>SERVENTE COM ENCARGOS COMPLEMENTARES</t>
  </si>
  <si>
    <t>SARRAFO NAO APARELHADO *2,5 X 7* CM, EM MACARANDUBA, ANGELIM OU EQUIVALENTE DA REGIAO -  BRUTA</t>
  </si>
  <si>
    <t>PONTALETE *7,5 X 7,5* CM EM PINUS, MISTA OU EQUIVALENTE DA REGIAO - BRUTA</t>
  </si>
  <si>
    <t>PLACA DE OBRA (PARA CONSTRUCAO CIVIL) EM CHAPA GALVANIZADA *N. 22*, ADESIVADA, DE *2,0 X 1,125* M</t>
  </si>
  <si>
    <t>PREGO DE ACO POLIDO COM CABECA 18 X 30 (2 3/4 X 10)</t>
  </si>
  <si>
    <t xml:space="preserve"> 88316 </t>
  </si>
  <si>
    <t xml:space="preserve"> 00004417 </t>
  </si>
  <si>
    <t xml:space="preserve"> 00004491 </t>
  </si>
  <si>
    <t xml:space="preserve"> 00004813 </t>
  </si>
  <si>
    <t xml:space="preserve"> 00005075 </t>
  </si>
  <si>
    <t>KG</t>
  </si>
  <si>
    <t xml:space="preserve"> 88261 </t>
  </si>
  <si>
    <t>CARPINTEIRO DE ESQUADRIA COM ENCARGOS COMPLEMENTARES</t>
  </si>
  <si>
    <t xml:space="preserve"> 88311 </t>
  </si>
  <si>
    <t>PINTOR DE LETREIROS COM ENCARGOS COMPLEMENTARES</t>
  </si>
  <si>
    <t xml:space="preserve"> 00011051 </t>
  </si>
  <si>
    <t>CHAPA DE ACO GALVANIZADA BITOLA GSG 26, E = 0,50 MM (4,00 KG/M2)</t>
  </si>
  <si>
    <t xml:space="preserve"> 00004509 </t>
  </si>
  <si>
    <t>SARRAFO *2,5 X 10* CM EM PINUS, MISTA OU EQUIVALENTE DA REGIAO - BRUTA</t>
  </si>
  <si>
    <t xml:space="preserve"> 00007292 </t>
  </si>
  <si>
    <t>TINTA ESMALTE SINTETICO PREMIUM BRILHANTE</t>
  </si>
  <si>
    <t>L</t>
  </si>
  <si>
    <t xml:space="preserve"> 96616 </t>
  </si>
  <si>
    <t>LASTRO DE CONCRETO MAGRO, APLICADO EM BLOCOS DE COROAMENTO OU SAPATAS. AF_08/2017</t>
  </si>
  <si>
    <t xml:space="preserve"> 88264 </t>
  </si>
  <si>
    <t>ELETRICISTA COM ENCARGOS COMPLEMENTARES</t>
  </si>
  <si>
    <t xml:space="preserve"> 00000939 </t>
  </si>
  <si>
    <t>FIO DE COBRE, SOLIDO, CLASSE 1, ISOLACAO EM PVC/A, ANTICHAMA BWF-B, 450/750V, SECAO NOMINAL 2,5 MM2</t>
  </si>
  <si>
    <t xml:space="preserve"> 00002705 </t>
  </si>
  <si>
    <t>ENERGIA ELETRICA ATE 2000 KWH INDUSTRIAL, SEM DEMANDA</t>
  </si>
  <si>
    <t>KW/H</t>
  </si>
  <si>
    <t xml:space="preserve"> 00003753 </t>
  </si>
  <si>
    <t>LAMPADA FLUORESCENTE TUBULAR T10, DE 20 OU 40 W, BIVOLT</t>
  </si>
  <si>
    <t xml:space="preserve"> 00004815 </t>
  </si>
  <si>
    <t>BALDE VERMELHO PARA SINALIZACAO DE VIAS</t>
  </si>
  <si>
    <t xml:space="preserve"> 00012294 </t>
  </si>
  <si>
    <t>SOQUETE DE PORCELANA BASE E27, PARA USO AO TEMPO, PARA LAMPADAS</t>
  </si>
  <si>
    <t xml:space="preserve"> 00037524 </t>
  </si>
  <si>
    <t>TELA PLASTICA LARANJA, TIPO TAPUME PARA SINALIZACAO, MALHA RETANGULAR, ROLO 1.20 X 50 M (L X C)</t>
  </si>
  <si>
    <t xml:space="preserve"> 00000033 </t>
  </si>
  <si>
    <t>ACO CA-50, 8,0 MM, VERGALHAO</t>
  </si>
  <si>
    <t xml:space="preserve"> 00000345 </t>
  </si>
  <si>
    <t>ARAME GALVANIZADO 18 BWG, D = 1,24MM (0,009 KG/M)</t>
  </si>
  <si>
    <t xml:space="preserve"> 90099 </t>
  </si>
  <si>
    <t>ESCAVAÇÃO MECANIZADA DE VALA COM PROF. ATÉ 1,5 M (MÉDIA ENTRE MONTANTE E JUSANTE/UMA COMPOSIÇÃO POR TRECHO), COM RETROESCAVADEIRA (0,26 M3/88 HP), LARG. MENOR QUE 0,8 M, EM SOLO DE 1A CATEGORIA, EM LOCAIS COM ALTO NÍVEL DE INTERFERÊNCIA. AF_02/2021</t>
  </si>
  <si>
    <t xml:space="preserve"> 93374 </t>
  </si>
  <si>
    <t>REATERRO MECANIZADO DE VALA COM RETROESCAVADEIRA (CAPACIDADE DA CAÇAMBA DA RETRO: 0,26 M³ / POTÊNCIA: 88 HP), LARGURA ATÉ 0,8 M, PROFUNDIDADE ATÉ 1,5 M, COM SOLO (SEM SUBSTITUIÇÃO) DE 1ª CATEGORIA EM LOCAIS COM ALTO NÍVEL DE INTERFERÊNCIA. AF_04/2016</t>
  </si>
  <si>
    <t xml:space="preserve"> 5681 </t>
  </si>
  <si>
    <t>RETROESCAVADEIRA SOBRE RODAS COM CARREGADEIRA, TRAÇÃO 4X2, POTÊNCIA LÍQ. 79 HP, CAÇAMBA CARREG. CAP. MÍN. 1 M3, CAÇAMBA RETRO CAP. 0,20 M3, PESO OPERACIONAL MÍN. 6.570 KG, PROFUNDIDADE ESCAVAÇÃO MÁX. 4,37 M - CHI DIURNO. AF_06/2014</t>
  </si>
  <si>
    <t>CHI</t>
  </si>
  <si>
    <t xml:space="preserve"> 88267 </t>
  </si>
  <si>
    <t>ENCANADOR OU BOMBEIRO HIDRÁULICO COM ENCARGOS COMPLEMENTARES</t>
  </si>
  <si>
    <t xml:space="preserve"> 00009813 </t>
  </si>
  <si>
    <t>TUBO DE POLIETILENO DE ALTA DENSIDADE (PEAD), PE-80, DE = 20 MM X 2,3 MM DE PAREDE, PARA LIGACAO DE AGUA PREDIAL (NBR 15561)</t>
  </si>
  <si>
    <t xml:space="preserve"> 00000064 </t>
  </si>
  <si>
    <t>UNIAO EM POLIPROPILENO (PP), PARA TUBO EM PEAD, 20 MM - LIGACAO PREDIAL DE AGUA</t>
  </si>
  <si>
    <t xml:space="preserve"> 96995 </t>
  </si>
  <si>
    <t>REATERRO MANUAL APILOADO COM SOQUETE. AF_10/2017</t>
  </si>
  <si>
    <t xml:space="preserve"> 97624 </t>
  </si>
  <si>
    <t>DEMOLIÇÃO DE ALVENARIA DE TIJOLO MACIÇO, DE FORMA MANUAL, SEM REAPROVEITAMENTO. AF_12/2017</t>
  </si>
  <si>
    <t xml:space="preserve"> 00006079 </t>
  </si>
  <si>
    <t>ARGILA, ARGILA VERMELHA OU ARGILA ARENOSA (RETIRADA NA JAZIDA, SEM TRANSPORTE)</t>
  </si>
  <si>
    <t xml:space="preserve"> 97914 </t>
  </si>
  <si>
    <t>TRANSPORTE COM CAMINHÃO BASCULANTE DE 6 M³, EM VIA URBANA PAVIMENTADA, DMT ATÉ 30 KM (UNIDADE: M3XKM). AF_07/2020</t>
  </si>
  <si>
    <t>M3XKM</t>
  </si>
  <si>
    <t xml:space="preserve"> 88309 </t>
  </si>
  <si>
    <t>PEDREIRO COM ENCARGOS COMPLEMENTARES</t>
  </si>
  <si>
    <t xml:space="preserve"> 5928 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</si>
  <si>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</si>
  <si>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</si>
  <si>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 xml:space="preserve"> 88245 </t>
  </si>
  <si>
    <t>ARMADOR COM ENCARGOS COMPLEMENTARES</t>
  </si>
  <si>
    <t xml:space="preserve"> 97083 </t>
  </si>
  <si>
    <t>COMPACTAÇÃO MECÂNICA DE SOLO PARA EXECUÇÃO DE RADIER, COM COMPACTADOR DE SOLOS A PERCUSSÃO. AF_09/2017</t>
  </si>
  <si>
    <t xml:space="preserve"> 100324 </t>
  </si>
  <si>
    <t>LASTRO COM MATERIAL GRANULAR (PEDRA BRITADA N.1 E PEDRA BRITADA N.2), APLICADO EM PISOS OU LAJES SOBRE SOLO, ESPESSURA DE *10 CM*. AF_07/2019</t>
  </si>
  <si>
    <t xml:space="preserve"> 96620 </t>
  </si>
  <si>
    <t>LASTRO DE CONCRETO MAGRO, APLICADO EM PISOS, LAJES SOBRE SOLO OU RADIERS. AF_08/2017</t>
  </si>
  <si>
    <t xml:space="preserve"> 94964 </t>
  </si>
  <si>
    <t>CONCRETO FCK = 20MPA, TRAÇO 1:2,7:3 (EM MASSA SECA DE CIMENTO/ AREIA MÉDIA/ BRITA 1) - PREPARO MECÂNICO COM BETONEIRA 400 L. AF_05/2021</t>
  </si>
  <si>
    <t xml:space="preserve"> 00034564 </t>
  </si>
  <si>
    <t>BLOCO DE CONCRETO ESTRUTURAL 14 X 19 X 29 CM, FBK 14 MPA (NBR 6136)</t>
  </si>
  <si>
    <t xml:space="preserve"> 00038592 </t>
  </si>
  <si>
    <t>MEIO BLOCO DE CONCRETO ESTRUTURAL 14 X 19 X 14 CM, FBK 14 MPA (NBR 6136)</t>
  </si>
  <si>
    <t xml:space="preserve"> 00038599 </t>
  </si>
  <si>
    <t>CANALETA DE CONCRETO ESTRUTURAL 14 X 19 X 29 CM, FBK 14 MPA (NBR 6136)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</si>
  <si>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</si>
  <si>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</si>
  <si>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87878 </t>
  </si>
  <si>
    <t>CHAPISCO APLICADO EM ALVENARIAS E ESTRUTURAS DE CONCRETO INTERNAS, COM COLHER DE PEDREIRO.  ARGAMASSA TRAÇO 1:3 COM PREPARO MANUAL. AF_06/2014</t>
  </si>
  <si>
    <t xml:space="preserve"> 00042407 </t>
  </si>
  <si>
    <t>TRELICA NERVURADA (ESPACADOR), ALTURA = 120,0 MM, DIAMETRO DOS BANZOS INFERIORES E SUPERIOR = 6,0 MM, DIAMETRO DA DIAGONAL = 4,2 MM</t>
  </si>
  <si>
    <t xml:space="preserve"> 92518 </t>
  </si>
  <si>
    <t>MONTAGEM E DESMONTAGEM DE FÔRMA DE LAJE MACIÇA, PÉ-DIREITO SIMPLES, EM CHAPA DE MADEIRA COMPENSADA RESINADA, 6 UTILIZAÇÕES. AF_09/2020</t>
  </si>
  <si>
    <t xml:space="preserve"> 96536 </t>
  </si>
  <si>
    <t>FABRICAÇÃO, MONTAGEM E DESMONTAGEM DE FÔRMA PARA VIGA BALDRAME, EM MADEIRA SERRADA, E=25 MM, 4 UTILIZAÇÕES. AF_06/2017</t>
  </si>
  <si>
    <t xml:space="preserve"> 96544 </t>
  </si>
  <si>
    <t>ARMAÇÃO DE BLOCO, VIGA BALDRAME OU SAPATA UTILIZANDO AÇO CA-50 DE 6,3 MM - MONTAGEM. AF_06/2017</t>
  </si>
  <si>
    <t xml:space="preserve"> 00043127 </t>
  </si>
  <si>
    <t>TELA DE ACO SOLDADA NERVURADA, CA-60, Q-283 (4,48 KG/M2), DIAMETRO DO FIO = 6,0 MM, LARGURA = 2,45 X 6,00 M DE COMPRIMENTO, ESPACAMENTO DA MALHA = 10 X 10 CM</t>
  </si>
  <si>
    <t xml:space="preserve"> 92431 </t>
  </si>
  <si>
    <t>MONTAGEM E DESMONTAGEM DE FÔRMA DE PILARES RETANGULARES E ESTRUTURAS SIMILARES, PÉ-DIREITO SIMPLES, EM CHAPA DE MADEIRA COMPENSADA PLASTIFICADA, 10 UTILIZAÇÕES. AF_09/2020</t>
  </si>
  <si>
    <t xml:space="preserve"> 92915 </t>
  </si>
  <si>
    <t>ARMAÇÃO DE ESTRUTURAS DE CONCRETO ARMADO, EXCETO VIGAS, PILARES, LAJES E FUNDAÇÕES, UTILIZANDO AÇO CA-60 DE 5,0 MM - MONTAGEM. AF_12/2015</t>
  </si>
  <si>
    <t xml:space="preserve"> 92917 </t>
  </si>
  <si>
    <t>ARMAÇÃO DE ESTRUTURAS DE CONCRETO ARMADO, EXCETO VIGAS, PILARES, LAJES E FUNDAÇÕES, UTILIZANDO AÇO CA-50 DE 8,0 MM - MONTAGEM. AF_12/2015</t>
  </si>
  <si>
    <t xml:space="preserve"> 91283 </t>
  </si>
  <si>
    <t>CORTADORA DE PISO COM MOTOR 4 TEMPOS A GASOLINA, POTÊNCIA DE 13 HP, COM DISCO DE CORTE DIAMANTADO SEGMENTADO PARA CONCRETO, DIÂMETRO DE 350 MM, FURO DE 1" (14 X 1") - CHP DIURNO. AF_08/2015</t>
  </si>
  <si>
    <t xml:space="preserve"> 00013887 </t>
  </si>
  <si>
    <t>DISCO DE CORTE DIAMANTADO SEGMENTADO PARA CONCRETO, DIAMETRO DE 350 MM, FURO DE 1 " (14 X 1 ")</t>
  </si>
  <si>
    <t xml:space="preserve"> 5824 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</si>
  <si>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</si>
  <si>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 xml:space="preserve"> 5940 </t>
  </si>
  <si>
    <t>PÁ CARREGADEIRA SOBRE RODAS, POTÊNCIA LÍQUIDA 128 HP, CAPACIDADE DA CAÇAMBA 1,7 A 2,8 M3, PESO OPERACIONAL 11632 KG - CHP DIURNO. AF_06/2014</t>
  </si>
  <si>
    <t xml:space="preserve"> 5942 </t>
  </si>
  <si>
    <t>PÁ CARREGADEIRA SOBRE RODAS, POTÊNCIA LÍQUIDA 128 HP, CAPACIDADE DA CAÇAMBA 1,7 A 2,8 M3, PESO OPERACIONAL 11632 KG - CHI DIURNO. AF_06/2014</t>
  </si>
  <si>
    <t xml:space="preserve"> 5932 </t>
  </si>
  <si>
    <t>MOTONIVELADORA POTÊNCIA BÁSICA LÍQUIDA (PRIMEIRA MARCHA) 125 HP, PESO BRUTO 13032 KG, LARGURA DA LÂMINA DE 3,7 M - CHP DIURNO. AF_06/2014</t>
  </si>
  <si>
    <t xml:space="preserve"> 5934 </t>
  </si>
  <si>
    <t>MOTONIVELADORA POTÊNCIA BÁSICA LÍQUIDA (PRIMEIRA MARCHA) 125 HP, PESO BRUTO 13032 KG, LARGURA DA LÂMINA DE 3,7 M - CHI DIURNO. AF_06/2014</t>
  </si>
  <si>
    <t xml:space="preserve"> 73436 </t>
  </si>
  <si>
    <t>ROLO COMPACTADOR VIBRATÓRIO PÉ DE CARNEIRO PARA SOLOS, POTÊNCIA 80 HP, PESO OPERACIONAL SEM/COM LASTRO 7,4 / 8,8 T, LARGURA DE TRABALHO 1,68 M - CHP DIURNO. AF_02/2016</t>
  </si>
  <si>
    <t xml:space="preserve"> 93244 </t>
  </si>
  <si>
    <t>ROLO COMPACTADOR VIBRATÓRIO PÉ DE CARNEIRO PARA SOLOS, POTÊNCIA 80 HP, PESO OPERACIONAL SEM/COM LASTRO 7,4 / 8,8 T, LARGURA DE TRABALHO 1,68 M - CHI DIURNO. AF_02/2016</t>
  </si>
  <si>
    <t xml:space="preserve"> 5901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</si>
  <si>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</si>
  <si>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5903 </t>
  </si>
  <si>
    <t>CAMINHÃO PIPA 10.000 L TRUCADO, PESO BRUTO TOTAL 23.000 KG, CARGA ÚTIL MÁXIMA 15.935 KG, DISTÂNCIA ENTRE EIXOS 4,8 M, POTÊNCIA 230 CV, INCLUSIVE TANQUE DE AÇO PARA TRANSPORTE DE ÁGUA - CHI DIURNO. AF_06/2014</t>
  </si>
  <si>
    <t xml:space="preserve"> 96157 </t>
  </si>
  <si>
    <t>TRATOR DE PNEUS COM POTÊNCIA DE 85 CV, TRAÇÃO 4X4, COM VASSOURA MECÂNICA ACOPLADA - CHP DIURNO. AF_03/2017</t>
  </si>
  <si>
    <t xml:space="preserve"> 96155 </t>
  </si>
  <si>
    <t>TRATOR DE PNEUS COM POTÊNCIA DE 85 CV, TRAÇÃO 4X4, COM VASSOURA MECÂNICA ACOPLADA - CHI DIURNO. AF_02/2017</t>
  </si>
  <si>
    <t xml:space="preserve"> 96463 </t>
  </si>
  <si>
    <t>ROLO COMPACTADOR DE PNEUS, ESTATICO, PRESSAO VARIAVEL, POTENCIA 110 HP, PESO SEM/COM LASTRO 10,8/27 T, LARGURA DE ROLAGEM 2,30 M - CHP DIURNO. AF_06/2017</t>
  </si>
  <si>
    <t xml:space="preserve"> 96464 </t>
  </si>
  <si>
    <t>ROLO COMPACTADOR DE PNEUS, ESTATICO, PRESSAO VARIAVEL, POTENCIA 110 HP, PESO SEM/COM LASTRO 10,8/27 T, LARGURA DE ROLAGEM 2,30 M - CHI DIURNO. AF_06/2017</t>
  </si>
  <si>
    <t xml:space="preserve"> 5839 </t>
  </si>
  <si>
    <t>VASSOURA MECÂNICA REBOCÁVEL COM ESCOVA CILÍNDRICA, LARGURA ÚTIL DE VARRIMENTO DE 2,44 M - CHP DIURNO. AF_06/2014</t>
  </si>
  <si>
    <t xml:space="preserve"> 5841 </t>
  </si>
  <si>
    <t>VASSOURA MECÂNICA REBOCÁVEL COM ESCOVA CILÍNDRICA, LARGURA ÚTIL DE VARRIMENTO DE 2,44 M - CHI DIURNO. AF_06/2014</t>
  </si>
  <si>
    <t xml:space="preserve"> 83362 </t>
  </si>
  <si>
    <t>ESPARGIDOR DE ASFALTO PRESSURIZADO, TANQUE 6 M3 COM ISOLAÇÃO TÉRMICA, AQUECIDO COM 2 MAÇARICOS, COM BARRA ESPARGIDORA 3,60 M, MONTADO SOBRE CAMINHÃO  TOCO, PBT 14.300 KG, POTÊNCIA 185 CV - CHP DIURNO. AF_08/2015</t>
  </si>
  <si>
    <t xml:space="preserve"> 91486 </t>
  </si>
  <si>
    <t>ESPARGIDOR DE ASFALTO PRESSURIZADO, TANQUE 6 M3 COM ISOLAÇÃO TÉRMICA, AQUECIDO COM 2 MAÇARICOS, COM BARRA ESPARGIDORA 3,60 M, MONTADO SOBRE CAMINHÃO  TOCO, PBT 14.300 KG, POTÊNCIA 185 CV - CHI DIURNO. AF_08/2015</t>
  </si>
  <si>
    <t xml:space="preserve"> 89035 </t>
  </si>
  <si>
    <t>TRATOR DE PNEUS, POTÊNCIA 85 CV, TRAÇÃO 4X4, PESO COM LASTRO DE 4.675 KG - CHP DIURNO. AF_06/2014</t>
  </si>
  <si>
    <t xml:space="preserve"> 89036 </t>
  </si>
  <si>
    <t>TRATOR DE PNEUS, POTÊNCIA 85 CV, TRAÇÃO 4X4, PESO COM LASTRO DE 4.675 KG - CHI DIURNO. AF_06/2014</t>
  </si>
  <si>
    <t xml:space="preserve"> 94963 </t>
  </si>
  <si>
    <t>CONCRETO FCK = 15MPA, TRAÇO 1:3,4:3,5 (EM MASSA SECA DE CIMENTO/ AREIA MÉDIA/ BRITA 1) - PREPARO MECÂNICO COM BETONEIRA 400 L. AF_05/2021</t>
  </si>
  <si>
    <t xml:space="preserve"> 88256 </t>
  </si>
  <si>
    <t>AZULEJISTA OU LADRILHISTA COM ENCARGOS COMPLEMENTARES</t>
  </si>
  <si>
    <t xml:space="preserve"> 87298 </t>
  </si>
  <si>
    <t>ARGAMASSA TRAÇO 1:3 (EM VOLUME DE CIMENTO E AREIA MÉDIA ÚMIDA) PARA CONTRAPISO, PREPARO MECÂNICO COM BETONEIRA 400 L. AF_08/2019</t>
  </si>
  <si>
    <t xml:space="preserve"> 00036178 </t>
  </si>
  <si>
    <t>PISO PODOTATIL DE CONCRETO - DIRECIONAL E ALERTA, *40 X 40 X 2,5* CM</t>
  </si>
  <si>
    <t xml:space="preserve"> 73467 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</si>
  <si>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</si>
  <si>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 xml:space="preserve"> 91395 </t>
  </si>
  <si>
    <t>CAMINHÃO TOCO, PBT 14.300 KG, CARGA ÚTIL MÁX. 9.710 KG, DIST. ENTRE EIXOS 3,56 M, POTÊNCIA 185 CV, INCLUSIVE CARROCERIA FIXA ABERTA DE MADEIRA P/ TRANSPORTE GERAL DE CARGA SECA, DIMEN. APROX. 2,50 X 6,50 X 0,50 M - CHI DIURNO. AF_06/2014</t>
  </si>
  <si>
    <t xml:space="preserve"> 88310 </t>
  </si>
  <si>
    <t>PINTOR COM ENCARGOS COMPLEMENTARES</t>
  </si>
  <si>
    <t>MICROESFERAS DE VIDRO PARA SINALIZACAO HORIZONTAL VIARIA, TIPO I-B (PREMIX) - NBR 16184</t>
  </si>
  <si>
    <t>MICROESFERAS DE VIDRO PARA SINALIZACAO HORIZONTAL VIARIA, TIPO II-A (DROP-ON) - NBR 16184</t>
  </si>
  <si>
    <t xml:space="preserve"> 88278 </t>
  </si>
  <si>
    <t>MONTADOR DE ESTRUTURA METÁLICA COM ENCARGOS COMPLEMENTARES</t>
  </si>
  <si>
    <t xml:space="preserve"> 00021013 </t>
  </si>
  <si>
    <t>TUBO ACO GALVANIZADO COM COSTURA, CLASSE LEVE, DN 50 MM ( 2"),  E = 3,00 MM,  *4,40* KG/M (NBR 5580)</t>
  </si>
  <si>
    <t xml:space="preserve"> 5961 </t>
  </si>
  <si>
    <t>CAMINHÃO BASCULANTE 6 M3, PESO BRUTO TOTAL 16.000 KG, CARGA ÚTIL MÁXIMA 13.071 KG, DISTÂNCIA ENTRE EIXOS 4,80 M, POTÊNCIA 230 CV INCLUSIVE CAÇAMBA METÁLICA - CHI DIURNO. AF_06/2014</t>
  </si>
  <si>
    <t xml:space="preserve"> 92145 </t>
  </si>
  <si>
    <t>CAMINHONETE CABINE SIMPLES COM MOTOR 1.6 FLEX, CÂMBIO MANUAL, POTÊNCIA 101/104 CV, 2 PORTAS - CHP DIURNO. AF_11/2015</t>
  </si>
  <si>
    <t xml:space="preserve"> 92146 </t>
  </si>
  <si>
    <t>CAMINHONETE CABINE SIMPLES COM MOTOR 1.6 FLEX, CÂMBIO MANUAL, POTÊNCIA 101/104 CV, 2 PORTAS - CHI DIURNO. AF_11/2015</t>
  </si>
  <si>
    <t xml:space="preserve"> 88284 </t>
  </si>
  <si>
    <t>MOTORISTA DE VEIÍCULO LEVE COM ENCARGOS COMPLEMENTARES</t>
  </si>
  <si>
    <t xml:space="preserve"> 00004743 </t>
  </si>
  <si>
    <t>CASCALHO DE CAVA</t>
  </si>
  <si>
    <t>TXKM</t>
  </si>
  <si>
    <t xml:space="preserve"> 95875 </t>
  </si>
  <si>
    <t>TRANSPORTE COM CAMINHÃO BASCULANTE DE 10 M³, EM VIA URBANA PAVIMENTADA, DMT ATÉ 30 KM (UNIDADE: M3XKM). AF_07/2020</t>
  </si>
  <si>
    <t>GRELHA FOFO ARTICULADA, CLASSE D400, CARAGA MÁXIMA 40T, 415 X 955MM, PARA BOCA DE LOBO, NBR 10160 E NBR 6916 / FE 42012</t>
  </si>
  <si>
    <t>EMULSÃO ASFÁLTICA,  CATIÔNICA RR-1C (COLETADO NA ANP/CENTRO OESTE) - AQUISIÇÃO INCLUSIVE ICMS, PIS E CONFINS</t>
  </si>
  <si>
    <t>CAMINHÃO DEMARCADOR DE FAIXAS COM SISITEMA DE PINTURAS A FRIO - 28 KW/115KW</t>
  </si>
  <si>
    <t>TINTA PARA PRÉ-MARCAÇÃO</t>
  </si>
  <si>
    <t xml:space="preserve">PLACA DE SINALIZAÇÃO DE ALUMÍNIO, ESPESSURA 1,5MM, COM FUNDO, SÍMBOLOS E TARJAS EM PELÍCULA REFLETIVA COM ESFERAS INCLUSAS TIPO I-A DA NBR 14644, INCLUSIVE ELEMENTOS DE FIXAÇÃO (REFER. SCO/RJ CÓD. MATERIAIS MAT099600) </t>
  </si>
  <si>
    <t>PINTURA COM TINTA ALQUÍDICA DE FUNDO E ACABAMENTO (ESMALTE SINTÉTICO GRAFITE) PULVERIZADA SOBRE PERFIL METÁLICO EXECUTADO EM FÁBRICA (POR DEMÃO). AF_01/2020</t>
  </si>
  <si>
    <t xml:space="preserve"> 1.1.3</t>
  </si>
  <si>
    <t xml:space="preserve"> 1.1.4</t>
  </si>
  <si>
    <t xml:space="preserve"> 1.1.5</t>
  </si>
  <si>
    <t xml:space="preserve"> 1.1.6</t>
  </si>
  <si>
    <t xml:space="preserve"> 1.1.7</t>
  </si>
  <si>
    <t xml:space="preserve"> 1.1.8</t>
  </si>
  <si>
    <t xml:space="preserve"> 101616</t>
  </si>
  <si>
    <t>PREPARO DE FUNDO DE VALA COM LARGURA MENOR QUE 1,5 M (ACERTO DO SOLO NATURAL). AF_08/2020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</si>
  <si>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</si>
  <si>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</si>
  <si>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</si>
  <si>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</si>
  <si>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</si>
  <si>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</si>
  <si>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</si>
  <si>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</si>
  <si>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</si>
  <si>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</si>
  <si>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TUBO DE CONCRETO ARMADO PARA AGUAS PLUVIAIS, CLASSE PA-1, COM ENCAIXE PONTA E BOLSA, DIAMETRO NOMINAL DE 800 MM</t>
  </si>
  <si>
    <t>TUBO DE CONCRETO ARMADO PARA AGUAS PLUVIAIS, CLASSE PA-1, COM ENCAIXE PONTA E BOLSA, DIAMETRO NOMINAL DE 1000 MM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</si>
  <si>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</si>
  <si>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</si>
  <si>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</si>
  <si>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</si>
  <si>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</si>
  <si>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</si>
  <si>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</si>
  <si>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</si>
  <si>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</si>
  <si>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</si>
  <si>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</si>
  <si>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1.4.13</t>
  </si>
  <si>
    <t>1.4.14</t>
  </si>
  <si>
    <t>1.4.15</t>
  </si>
  <si>
    <t>1.4.16</t>
  </si>
  <si>
    <t>1.4.17</t>
  </si>
  <si>
    <t>1.4.18</t>
  </si>
  <si>
    <t>1.4.19</t>
  </si>
  <si>
    <t>1.4.20</t>
  </si>
  <si>
    <t>DR/0255</t>
  </si>
  <si>
    <t xml:space="preserve">BLTC - BOCA-DE-LOBO DUPLA EM CONCRETO SIMPLES FCK 20 MPA, INCLUINDO FORMA, ESCAVAÇÃO, SARJETA DE CONTORNO (CHAMA) EM CONCRETO E GRELHAS EM F°F° TIPO PESADA, CONFORME PROJETO </t>
  </si>
  <si>
    <t>TRANSPORTE COM CAMINHÃO BASCULANTE DE 14 M³, EM VIA URBANA PAVIMENTADA, DMT ATÉ 30 KM (UNIDADE: M3XKM). AF_07/2020 - BRITA DOS PV´s/CX</t>
  </si>
  <si>
    <t>TRANSPORTE COM CAMINHÃO BASCULANTE DE 14 M³, EM VIA URBANA PAVIMENTADA, DMT ATÉ 30 KM (UNIDADE: M3XKM). AF_07/2020 - BRITA DAS BL´s/BB</t>
  </si>
  <si>
    <t>CARGA, MANOBRA E DESCARGA DE TUBOS DE CONCRETO, DN 800 MM, EM CAMINHÃO CARROCERIA COM GUINDAUTO (MUNCK) 11,7 TM. AF_07/2020</t>
  </si>
  <si>
    <t>CARGA, MANOBRA E DESCARGA DE TUBOS DE CONCRETO, DN 1000 MM, EM CAMINHÃO CARROCERIA COM GUINDAUTO (MUNCK) 11,7 TM. AF_07/2020</t>
  </si>
  <si>
    <t>IMPLANTAÇÃO ASFÁLTICA - PAVIMENTAÇÃO: BASE e IMPRIMAÇÃO</t>
  </si>
  <si>
    <t>AQUISIÇÃO DE CASCALHO CAVA, NAO CLASSIFICADA (POSTO PEDREIRA/FORNECEDOR, SEM FRETE)</t>
  </si>
  <si>
    <t>1.4.21</t>
  </si>
  <si>
    <t>1.4.22</t>
  </si>
  <si>
    <t xml:space="preserve"> 1.6.1</t>
  </si>
  <si>
    <t xml:space="preserve"> 1.6.2</t>
  </si>
  <si>
    <t xml:space="preserve"> 1.6.3</t>
  </si>
  <si>
    <t xml:space="preserve"> 1.6.4</t>
  </si>
  <si>
    <t xml:space="preserve"> 1.6.5</t>
  </si>
  <si>
    <t xml:space="preserve"> 1.6.6</t>
  </si>
  <si>
    <t xml:space="preserve"> 1.6.7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</si>
  <si>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</si>
  <si>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</si>
  <si>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</si>
  <si>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</si>
  <si>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</si>
  <si>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</si>
  <si>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</si>
  <si>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</si>
  <si>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</si>
  <si>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</si>
  <si>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</si>
  <si>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</si>
  <si>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</si>
  <si>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</si>
  <si>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</si>
  <si>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</si>
  <si>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</si>
  <si>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</si>
  <si>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</si>
  <si>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</si>
  <si>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</si>
  <si>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</si>
  <si>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</si>
  <si>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</si>
  <si>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</si>
  <si>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</si>
  <si>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</si>
  <si>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</si>
  <si>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</si>
  <si>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</si>
  <si>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</si>
  <si>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</si>
  <si>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</si>
  <si>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</si>
  <si>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</si>
  <si>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</si>
  <si>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</si>
  <si>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</si>
  <si>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</si>
  <si>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</si>
  <si>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</si>
  <si>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</si>
  <si>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</si>
  <si>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</si>
  <si>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</si>
  <si>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</si>
  <si>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</si>
  <si>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</si>
  <si>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</si>
  <si>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</si>
  <si>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</si>
  <si>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</si>
  <si>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</si>
  <si>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</si>
  <si>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</si>
  <si>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</si>
  <si>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</si>
  <si>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</si>
  <si>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</si>
  <si>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</si>
  <si>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</si>
  <si>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</si>
  <si>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</si>
  <si>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</si>
  <si>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</si>
  <si>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</si>
  <si>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</si>
  <si>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</si>
  <si>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</si>
  <si>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</si>
  <si>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</si>
  <si>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</si>
  <si>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</si>
  <si>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</si>
  <si>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</si>
  <si>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</si>
  <si>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</si>
  <si>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</si>
  <si>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</si>
  <si>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</si>
  <si>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</si>
  <si>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</si>
  <si>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</si>
  <si>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</si>
  <si>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</si>
  <si>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</si>
  <si>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</si>
  <si>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</si>
  <si>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</si>
  <si>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</si>
  <si>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</si>
  <si>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</si>
  <si>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</si>
  <si>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</si>
  <si>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</si>
  <si>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</si>
  <si>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</si>
  <si>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</si>
  <si>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</si>
  <si>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</si>
  <si>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</si>
  <si>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</si>
  <si>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</si>
  <si>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</si>
  <si>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</si>
  <si>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</si>
  <si>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</si>
  <si>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</si>
  <si>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</si>
  <si>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</si>
  <si>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</si>
  <si>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</si>
  <si>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</si>
  <si>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</si>
  <si>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</si>
  <si>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</si>
  <si>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</si>
  <si>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</si>
  <si>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</si>
  <si>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</si>
  <si>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</si>
  <si>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</si>
  <si>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</si>
  <si>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</si>
  <si>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</si>
  <si>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</si>
  <si>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</si>
  <si>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</si>
  <si>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</si>
  <si>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</si>
  <si>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</si>
  <si>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</si>
  <si>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</si>
  <si>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</si>
  <si>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</si>
  <si>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</si>
  <si>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</si>
  <si>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</si>
  <si>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</si>
  <si>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</si>
  <si>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</si>
  <si>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</si>
  <si>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</si>
  <si>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</si>
  <si>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</si>
  <si>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</si>
  <si>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</si>
  <si>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</si>
  <si>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</si>
  <si>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</si>
  <si>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</si>
  <si>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</si>
  <si>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</si>
  <si>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</si>
  <si>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</si>
  <si>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</si>
  <si>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</si>
  <si>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</si>
  <si>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</si>
  <si>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</si>
  <si>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</si>
  <si>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</si>
  <si>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</si>
  <si>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</si>
  <si>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</si>
  <si>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</si>
  <si>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</si>
  <si>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</si>
  <si>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</si>
  <si>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</si>
  <si>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</si>
  <si>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</si>
  <si>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</si>
  <si>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</si>
  <si>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</si>
  <si>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</si>
  <si>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</si>
  <si>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</si>
  <si>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</si>
  <si>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</si>
  <si>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</si>
  <si>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</si>
  <si>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</si>
  <si>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</si>
  <si>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</si>
  <si>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</si>
  <si>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</si>
  <si>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</si>
  <si>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</si>
  <si>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</si>
  <si>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</si>
  <si>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</si>
  <si>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</si>
  <si>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</si>
  <si>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</si>
  <si>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</si>
  <si>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</si>
  <si>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</si>
  <si>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</si>
  <si>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</si>
  <si>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</si>
  <si>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</si>
  <si>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</si>
  <si>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</si>
  <si>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</si>
  <si>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</si>
  <si>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</si>
  <si>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</si>
  <si>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</si>
  <si>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</si>
  <si>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</si>
  <si>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</si>
  <si>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</si>
  <si>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</si>
  <si>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</si>
  <si>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</si>
  <si>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</si>
  <si>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</si>
  <si>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</si>
  <si>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</si>
  <si>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</si>
  <si>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</si>
  <si>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</si>
  <si>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</si>
  <si>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</si>
  <si>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</si>
  <si>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</si>
  <si>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</si>
  <si>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</si>
  <si>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</si>
  <si>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</si>
  <si>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</si>
  <si>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</si>
  <si>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</si>
  <si>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</si>
  <si>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</si>
  <si>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</si>
  <si>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</si>
  <si>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</si>
  <si>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</si>
  <si>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</si>
  <si>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</si>
  <si>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</si>
  <si>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</si>
  <si>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</si>
  <si>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</si>
  <si>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</si>
  <si>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</si>
  <si>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</si>
  <si>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</si>
  <si>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</si>
  <si>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 xml:space="preserve"> PINTURA DE MEIO-FIO COM TINTA BRANCA A BASE DE CAL (CAIAÇÃO). AF_05/2021</t>
  </si>
  <si>
    <t>102498</t>
  </si>
  <si>
    <t>BOCA PARA BUEIRO SIMPLES TUBULAR D = 100 CM EM CONCRETO, ALAS COM ESCONSIDADE DE 0°, INCLUINDO FÔRMAS E MATERIAIS. AF_07/2021</t>
  </si>
  <si>
    <t>1.4.12</t>
  </si>
  <si>
    <t>1.4.23</t>
  </si>
  <si>
    <t>DP-03</t>
  </si>
  <si>
    <t>EXECUÇÃO DE DISSIPADOR DE ENERGIA DE ÁGUAS PLUVIAIS - TIPO 03</t>
  </si>
  <si>
    <t xml:space="preserve">UN </t>
  </si>
  <si>
    <t>CONCRETO MAGRO PARA LASTRO, TRAÇO 1:4,5:4,5 (EM MASSA SECA DE CIMENTO/ AREIA MÉDIA/ BRITA 1) - PREPARO MANUAL. AF_05/2021</t>
  </si>
  <si>
    <t>FABRICAÇÃO DE FÔRMA PARA PILARES E ESTRUTURAS SIMILARES, EM CHAPA DE MADEIRA COMPENSADA PLASTIFICADA, E = 18 MM. AF_09/2020</t>
  </si>
  <si>
    <t>ARMAÇÃO DE PILAR OU VIGA DE UMA ESTRUTURA CONVENCIONAL DE CONCRETO ARMADO EM UMA EDIFICAÇÃO TÉRREA OU SOBRADO UTILIZANDO AÇO CA-50 DE 6,3 MM - MONTAGEM. AF_12/2015</t>
  </si>
  <si>
    <t>kg</t>
  </si>
  <si>
    <t>ESCAVAÇÃO HORIZONTAL, INCLUINDO CARGA E DESCARGA EM SOLO DE 1A CATEGORIA COM TRATOR DE ESTEIRAS (347HP/LÂMINA: 8,70M3). AF_07/2020</t>
  </si>
  <si>
    <t>BAIRRO JD. SANTA MARTA - SIDROLÂNDIA/MS</t>
  </si>
  <si>
    <t>TINTA A BASE DE RESINA ACRILICA EMULSIONADA EM AGUA, PARA SINALIZACAO HORIZONTAL VIARIA (NBR 13699)</t>
  </si>
  <si>
    <t>38121</t>
  </si>
  <si>
    <t>IMP-001</t>
  </si>
  <si>
    <t>18.206,37 m²</t>
  </si>
  <si>
    <t>210 DIAS</t>
  </si>
  <si>
    <t>240 DIAS</t>
  </si>
  <si>
    <t>270 DIAS</t>
  </si>
  <si>
    <t>300 DIAS</t>
  </si>
  <si>
    <t>1.4.24</t>
  </si>
  <si>
    <t>1.4.25</t>
  </si>
  <si>
    <t>1.4.26</t>
  </si>
  <si>
    <t>1.4.27</t>
  </si>
  <si>
    <t>1.4.28</t>
  </si>
  <si>
    <t>BC-01</t>
  </si>
  <si>
    <t>EXECUÇÃO BACIA DE CONTENÇÃO E CANAL CONDUTOR REVESTDO DE CONCRETO</t>
  </si>
  <si>
    <t>ALVENARIA DE BLOCOS DE CONCRETO ESTRUTURAL 14X19X29 CM, (ESPESSURA 14 CM), FBK = 4,5 MPA, PARA PAREDES COM ÁREA LÍQUIDA MENOR QUE 6M², SEM VÃOS, UTILIZANDO COLHER DE PEDREIRO. AF_12/2014</t>
  </si>
  <si>
    <t>PEDRA DE MAO OU PEDRA RACHAO PARA ARRIMO/FUNDACAO (POSTO PEDREIRA/FORNECEDOR, SEM FRETE)</t>
  </si>
  <si>
    <t>ESCAVADEIRA HIDRÁULICA SOBRE ESTEIRAS, CAÇAMBA 0,80 M3, PESO OPERACIONAL 17 T, POTENCIA BRUTA 111 HP - CHP DIURNO. AF_06/2014</t>
  </si>
  <si>
    <t xml:space="preserve"> ESCAVADEIRA HIDRÁULICA SOBRE ESTEIRAS, CAÇAMBA 0,80 M3, PESO OPERACIONAL 17 T, POTENCIA BRUTA 111 HP - CHI DIURNO. AF_06/2014</t>
  </si>
  <si>
    <t>h</t>
  </si>
  <si>
    <t>1.4.29</t>
  </si>
  <si>
    <t>1.4.30</t>
  </si>
  <si>
    <t>1.4.31</t>
  </si>
  <si>
    <t>1.4.32</t>
  </si>
  <si>
    <t>um</t>
  </si>
  <si>
    <t>EMB-01</t>
  </si>
  <si>
    <t>TELA DE ACO SOLDADA GALVANIZADA/ZINCADA PARA ALVENARIA, FIO D = *1,24 MM, MALHA 25 X 25 MM</t>
  </si>
  <si>
    <t>EMBOÇO OU MASSA ÚNICA EM ARGAMASSA TRAÇO 1:2:8, PREPARO MECÂNICO COM BETONEIRA 400 L, APLICADA MANUALMENTE EM SUPERFÍCIES EXTERNAS, ESPESSURA MAIOR OU IGUAL A 50 MM.</t>
  </si>
  <si>
    <t xml:space="preserve"> 1.5</t>
  </si>
  <si>
    <t>1.5.1</t>
  </si>
  <si>
    <t>1.5.2</t>
  </si>
  <si>
    <t>1.5.3</t>
  </si>
  <si>
    <t>TUBO DE CONCRETO ARMADO PARA AGUAS PLUVIAIS, CLASSE PA-1, COM ENCAIXE PONTA E BOLSA, DIAMETRO NOMINAL DE 1200 MM</t>
  </si>
  <si>
    <t xml:space="preserve"> ASSENTAMENTO DE TUBO DE CONCRETO PARA REDES COLETORAS DE ÁGUAS PLUVIAIS, DIÂMETRO DE 800 MM, JUNTA RÍGIDA, INSTALADO EM LOCAL COM ALTO NÍVEL DE INTERFERÊNCIAS (NÃO INCLUI FORNECIMENTO). AF_12/2015</t>
  </si>
  <si>
    <t xml:space="preserve"> ASSENTAMENTO DE TUBO DE CONCRETO PARA REDES COLETORAS DE ÁGUAS PLUVIAIS, DIÂMETRO DE 400 MM, JUNTA RÍGIDA, INSTALADO EM LOCAL COM ALTO NÍVEL DE INTERFERÊNCIAS (NÃO INCLUI FORNECIMENTO). AF_12/2015</t>
  </si>
  <si>
    <t xml:space="preserve"> ASSENTAMENTO DE TUBO DE CONCRETO PARA REDES COLETORAS DE ÁGUAS PLUVIAIS, DIÂMETRO DE 1000 MM, JUNTA RÍGIDA, INSTALADO EM LOCAL COM ALTO NÍVEL DE INTERFERÊNCIAS (NÃO INCLUI FORNECIMENTO). AF_12/2015</t>
  </si>
  <si>
    <t xml:space="preserve"> ASSENTAMENTO DE TUBO DE CONCRETO PARA REDES COLETORAS DE ÁGUAS PLUVIAIS, DIÂMETRO DE 1200 MM, JUNTA RÍGIDA, INSTALADO EM LOCAL COM ALTO NÍVEL DE INTERFERÊNCIAS (NÃO INCLUI FORNECIMENTO). AF_12/2015</t>
  </si>
  <si>
    <t xml:space="preserve"> CARGA, MANOBRA E DESCARGA DE TUBOS DE CONCRETO, DN 1200 MM, EM CAMINHÃO CARROCERIA COM GUINDAUTO (MUNCK) 11,7 TM. AF_07/2020</t>
  </si>
  <si>
    <t>PLO-001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</si>
  <si>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</si>
  <si>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</si>
  <si>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</si>
  <si>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</si>
  <si>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</si>
  <si>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</si>
  <si>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</si>
  <si>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</si>
  <si>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</si>
  <si>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</si>
  <si>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</si>
  <si>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</si>
  <si>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</si>
  <si>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</si>
  <si>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</si>
  <si>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</si>
  <si>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</si>
  <si>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</si>
  <si>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</si>
  <si>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</si>
  <si>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COMPOSIÇÃO UNITÁRIA</t>
  </si>
  <si>
    <t>LOTE 01</t>
  </si>
  <si>
    <t>LOTE 02</t>
  </si>
  <si>
    <t>LOTE 03</t>
  </si>
  <si>
    <t>LOTE 04</t>
  </si>
  <si>
    <t>LOTE 05</t>
  </si>
  <si>
    <t>ATUALIZADO</t>
  </si>
  <si>
    <t>RESTANTE</t>
  </si>
  <si>
    <t xml:space="preserve">SINAPI/MS - 05/2022
</t>
  </si>
  <si>
    <t>EXECUÇÃO DE IMPRIMAÇÃO LIGANTE (PINTURA DE LIGAÇÃO) COM EMULSÃO ASFÁLTICA CM-IMPRIMA</t>
  </si>
  <si>
    <t>EMB-05</t>
  </si>
  <si>
    <t>ASFALTO DILUIDO DE PETROLEO CM-IMPRIMA</t>
  </si>
  <si>
    <t xml:space="preserve"> 0,002</t>
  </si>
  <si>
    <t xml:space="preserve"> 0,004</t>
  </si>
  <si>
    <t xml:space="preserve"> 0,001</t>
  </si>
  <si>
    <t xml:space="preserve"> 0,0058</t>
  </si>
  <si>
    <t xml:space="preserve"> 0,0017</t>
  </si>
  <si>
    <t xml:space="preserve"> 0,0041</t>
  </si>
  <si>
    <t xml:space="preserve"> 0,0049</t>
  </si>
  <si>
    <t xml:space="preserve"> 1,2</t>
  </si>
  <si>
    <t>COMPOSIÇÃO BDI SEM DESONERAÇÃO</t>
  </si>
  <si>
    <t>Fórmula</t>
  </si>
  <si>
    <t>2) Alíquota máxima de COFINS é de 3% conforme inciso XX do art. 10 da Lei nº10.833/03.</t>
  </si>
  <si>
    <t>REFORMA E AMPLIAÇÃO CRAS JANDAIA</t>
  </si>
  <si>
    <t>RUA PARANÁ - BAIRRO JANDAIA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</si>
</sst>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\ %"/>
    <numFmt numFmtId="166" formatCode="0.000"/>
  </numFmts>
  <fonts count="47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1"/>
    </font>
    <font>
      <b/>
      <sz val="14"/>
      <name val="Arial"/>
      <family val="1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2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1"/>
      <name val="Arial"/>
      <family val="2"/>
    </font>
    <font>
      <sz val="14"/>
      <color theme="4"/>
      <name val="Arial"/>
      <family val="2"/>
    </font>
    <font>
      <b/>
      <sz val="14"/>
      <name val="Calibri"/>
      <family val="2"/>
      <scheme val="minor"/>
    </font>
    <font>
      <b/>
      <sz val="11"/>
      <color theme="1"/>
      <name val="Arial"/>
      <family val="2"/>
    </font>
    <font>
      <b/>
      <sz val="28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1" fillId="0" borderId="0"/>
  </cellStyleXfs>
  <cellXfs count="314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164" fontId="19" fillId="0" borderId="0" xfId="2" applyFont="1" applyFill="1" applyAlignment="1">
      <alignment horizontal="center" vertical="center" wrapText="1"/>
    </xf>
    <xf numFmtId="164" fontId="0" fillId="0" borderId="0" xfId="2" applyFont="1" applyFill="1" applyAlignment="1">
      <alignment vertical="center"/>
    </xf>
    <xf numFmtId="4" fontId="19" fillId="0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164" fontId="11" fillId="0" borderId="1" xfId="2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64" fontId="8" fillId="0" borderId="1" xfId="2" applyFont="1" applyFill="1" applyBorder="1" applyAlignment="1">
      <alignment horizontal="right" vertical="center" wrapText="1"/>
    </xf>
    <xf numFmtId="164" fontId="17" fillId="0" borderId="1" xfId="2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25" fillId="0" borderId="5" xfId="0" applyFont="1" applyBorder="1"/>
    <xf numFmtId="0" fontId="25" fillId="0" borderId="6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34" fillId="0" borderId="5" xfId="4" applyFont="1" applyBorder="1" applyAlignment="1">
      <alignment horizontal="center" vertical="center"/>
    </xf>
    <xf numFmtId="10" fontId="35" fillId="5" borderId="6" xfId="5" applyNumberFormat="1" applyFont="1" applyFill="1" applyBorder="1" applyAlignment="1" applyProtection="1">
      <alignment horizontal="center" vertical="center"/>
      <protection locked="0"/>
    </xf>
    <xf numFmtId="10" fontId="34" fillId="5" borderId="6" xfId="4" applyNumberFormat="1" applyFont="1" applyFill="1" applyBorder="1" applyAlignment="1" applyProtection="1">
      <alignment horizontal="center" vertical="center"/>
      <protection locked="0"/>
    </xf>
    <xf numFmtId="10" fontId="34" fillId="5" borderId="6" xfId="5" applyNumberFormat="1" applyFont="1" applyFill="1" applyBorder="1" applyAlignment="1" applyProtection="1">
      <alignment horizontal="center" vertical="center"/>
      <protection locked="0"/>
    </xf>
    <xf numFmtId="10" fontId="36" fillId="0" borderId="6" xfId="5" applyNumberFormat="1" applyFont="1" applyFill="1" applyBorder="1" applyAlignment="1" applyProtection="1">
      <alignment horizontal="center" vertical="center"/>
    </xf>
    <xf numFmtId="10" fontId="36" fillId="0" borderId="6" xfId="4" applyNumberFormat="1" applyFont="1" applyBorder="1" applyAlignment="1">
      <alignment horizontal="center" vertical="center"/>
    </xf>
    <xf numFmtId="0" fontId="36" fillId="0" borderId="13" xfId="4" applyFont="1" applyBorder="1" applyAlignment="1">
      <alignment vertical="center"/>
    </xf>
    <xf numFmtId="0" fontId="41" fillId="0" borderId="0" xfId="0" applyFont="1" applyFill="1" applyAlignment="1">
      <alignment horizontal="left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164" fontId="30" fillId="0" borderId="1" xfId="0" applyNumberFormat="1" applyFont="1" applyBorder="1"/>
    <xf numFmtId="9" fontId="0" fillId="0" borderId="1" xfId="5" applyFont="1" applyBorder="1" applyAlignment="1" applyProtection="1">
      <alignment horizontal="center" vertical="center"/>
    </xf>
    <xf numFmtId="0" fontId="25" fillId="0" borderId="1" xfId="0" applyFont="1" applyBorder="1"/>
    <xf numFmtId="0" fontId="0" fillId="0" borderId="1" xfId="1" applyNumberFormat="1" applyFont="1" applyBorder="1" applyAlignment="1" applyProtection="1">
      <alignment horizontal="center" vertical="center"/>
    </xf>
    <xf numFmtId="0" fontId="25" fillId="0" borderId="1" xfId="0" applyFont="1" applyBorder="1" applyAlignment="1">
      <alignment vertical="center"/>
    </xf>
    <xf numFmtId="164" fontId="0" fillId="0" borderId="0" xfId="2" applyFont="1" applyAlignment="1" applyProtection="1">
      <alignment horizontal="center"/>
      <protection locked="0"/>
    </xf>
    <xf numFmtId="9" fontId="0" fillId="0" borderId="0" xfId="5" applyFont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ont="1" applyProtection="1">
      <protection locked="0"/>
    </xf>
    <xf numFmtId="9" fontId="25" fillId="9" borderId="1" xfId="5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/>
    </xf>
    <xf numFmtId="164" fontId="44" fillId="0" borderId="1" xfId="0" applyNumberFormat="1" applyFont="1" applyBorder="1" applyAlignment="1">
      <alignment vertical="center"/>
    </xf>
    <xf numFmtId="0" fontId="41" fillId="0" borderId="1" xfId="0" applyFont="1" applyBorder="1"/>
    <xf numFmtId="164" fontId="41" fillId="0" borderId="1" xfId="0" applyNumberFormat="1" applyFont="1" applyBorder="1"/>
    <xf numFmtId="0" fontId="25" fillId="0" borderId="1" xfId="0" applyFont="1" applyBorder="1" applyAlignment="1"/>
    <xf numFmtId="164" fontId="25" fillId="0" borderId="1" xfId="0" applyNumberFormat="1" applyFont="1" applyBorder="1" applyAlignment="1"/>
    <xf numFmtId="10" fontId="0" fillId="0" borderId="1" xfId="5" applyNumberFormat="1" applyFont="1" applyBorder="1" applyAlignment="1" applyProtection="1">
      <alignment horizontal="center" vertical="center"/>
    </xf>
    <xf numFmtId="10" fontId="25" fillId="0" borderId="1" xfId="0" applyNumberFormat="1" applyFont="1" applyBorder="1" applyAlignment="1"/>
    <xf numFmtId="164" fontId="29" fillId="0" borderId="1" xfId="2" applyFont="1" applyBorder="1" applyAlignment="1" applyProtection="1">
      <alignment horizontal="center"/>
    </xf>
    <xf numFmtId="9" fontId="29" fillId="0" borderId="1" xfId="5" applyFont="1" applyBorder="1" applyAlignment="1" applyProtection="1">
      <alignment horizontal="center"/>
    </xf>
    <xf numFmtId="164" fontId="29" fillId="0" borderId="1" xfId="2" applyFont="1" applyFill="1" applyBorder="1" applyAlignment="1" applyProtection="1">
      <alignment horizontal="center"/>
    </xf>
    <xf numFmtId="9" fontId="29" fillId="0" borderId="1" xfId="5" applyFont="1" applyFill="1" applyBorder="1" applyAlignment="1" applyProtection="1">
      <alignment horizontal="center"/>
    </xf>
    <xf numFmtId="164" fontId="44" fillId="0" borderId="1" xfId="0" applyNumberFormat="1" applyFont="1" applyFill="1" applyBorder="1" applyAlignment="1">
      <alignment vertical="center"/>
    </xf>
    <xf numFmtId="10" fontId="0" fillId="0" borderId="1" xfId="5" applyNumberFormat="1" applyFont="1" applyFill="1" applyBorder="1" applyAlignment="1" applyProtection="1">
      <alignment horizontal="center" vertical="center"/>
    </xf>
    <xf numFmtId="164" fontId="26" fillId="0" borderId="1" xfId="2" applyFont="1" applyFill="1" applyBorder="1" applyAlignment="1" applyProtection="1">
      <alignment horizontal="center" vertical="center"/>
    </xf>
    <xf numFmtId="9" fontId="26" fillId="0" borderId="1" xfId="5" applyFont="1" applyFill="1" applyBorder="1" applyAlignment="1" applyProtection="1">
      <alignment horizontal="center" vertical="center"/>
    </xf>
    <xf numFmtId="9" fontId="25" fillId="0" borderId="1" xfId="3" applyNumberFormat="1" applyFont="1" applyBorder="1" applyAlignment="1" applyProtection="1">
      <alignment horizontal="center" vertical="center"/>
    </xf>
    <xf numFmtId="9" fontId="25" fillId="9" borderId="1" xfId="3" applyNumberFormat="1" applyFont="1" applyFill="1" applyBorder="1" applyAlignment="1" applyProtection="1">
      <alignment horizontal="center" vertical="center"/>
    </xf>
    <xf numFmtId="9" fontId="29" fillId="0" borderId="1" xfId="3" applyNumberFormat="1" applyFont="1" applyBorder="1" applyAlignment="1" applyProtection="1">
      <alignment horizontal="center"/>
    </xf>
    <xf numFmtId="9" fontId="29" fillId="0" borderId="1" xfId="3" applyNumberFormat="1" applyFont="1" applyFill="1" applyBorder="1" applyAlignment="1" applyProtection="1">
      <alignment horizontal="center"/>
    </xf>
    <xf numFmtId="9" fontId="0" fillId="0" borderId="0" xfId="3" applyNumberFormat="1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29" fillId="0" borderId="1" xfId="5" applyNumberFormat="1" applyFont="1" applyFill="1" applyBorder="1" applyAlignment="1" applyProtection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164" fontId="36" fillId="0" borderId="0" xfId="2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/>
    </xf>
    <xf numFmtId="164" fontId="34" fillId="0" borderId="0" xfId="2" applyFont="1" applyFill="1" applyBorder="1" applyAlignment="1">
      <alignment horizontal="center" vertical="center" wrapText="1"/>
    </xf>
    <xf numFmtId="164" fontId="34" fillId="0" borderId="0" xfId="2" applyFont="1" applyFill="1" applyBorder="1" applyAlignment="1">
      <alignment vertical="center"/>
    </xf>
    <xf numFmtId="49" fontId="3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1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164" fontId="35" fillId="0" borderId="11" xfId="2" applyFont="1" applyFill="1" applyBorder="1" applyAlignment="1">
      <alignment horizontal="right" vertical="center" wrapText="1"/>
    </xf>
    <xf numFmtId="164" fontId="34" fillId="0" borderId="11" xfId="2" applyFont="1" applyFill="1" applyBorder="1" applyAlignment="1" applyProtection="1">
      <alignment horizontal="center" vertical="center" wrapText="1"/>
      <protection locked="0"/>
    </xf>
    <xf numFmtId="164" fontId="34" fillId="0" borderId="11" xfId="2" applyFont="1" applyFill="1" applyBorder="1" applyAlignment="1">
      <alignment horizontal="center" vertical="center" wrapText="1"/>
    </xf>
    <xf numFmtId="49" fontId="36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36" fillId="7" borderId="11" xfId="0" applyNumberFormat="1" applyFont="1" applyFill="1" applyBorder="1" applyAlignment="1" applyProtection="1">
      <alignment vertical="center" wrapText="1"/>
      <protection locked="0"/>
    </xf>
    <xf numFmtId="164" fontId="36" fillId="7" borderId="11" xfId="2" applyFont="1" applyFill="1" applyBorder="1" applyAlignment="1">
      <alignment vertical="center"/>
    </xf>
    <xf numFmtId="0" fontId="35" fillId="0" borderId="11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49" fontId="34" fillId="0" borderId="11" xfId="0" applyNumberFormat="1" applyFont="1" applyFill="1" applyBorder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2" fontId="8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34" fillId="0" borderId="0" xfId="0" applyFont="1" applyFill="1" applyBorder="1" applyAlignment="1">
      <alignment vertical="center"/>
    </xf>
    <xf numFmtId="0" fontId="35" fillId="0" borderId="31" xfId="0" applyFont="1" applyFill="1" applyBorder="1" applyAlignment="1">
      <alignment horizontal="center" vertical="center" wrapText="1"/>
    </xf>
    <xf numFmtId="164" fontId="35" fillId="0" borderId="10" xfId="2" applyFont="1" applyFill="1" applyBorder="1" applyAlignment="1">
      <alignment horizontal="right" vertical="center" wrapText="1"/>
    </xf>
    <xf numFmtId="164" fontId="8" fillId="0" borderId="11" xfId="2" applyFont="1" applyFill="1" applyBorder="1" applyAlignment="1">
      <alignment horizontal="right"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164" fontId="41" fillId="0" borderId="23" xfId="2" applyFont="1" applyFill="1" applyBorder="1" applyAlignment="1">
      <alignment horizontal="center" vertical="center" wrapText="1"/>
    </xf>
    <xf numFmtId="164" fontId="8" fillId="0" borderId="32" xfId="2" applyFont="1" applyFill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36" fillId="7" borderId="31" xfId="0" applyNumberFormat="1" applyFont="1" applyFill="1" applyBorder="1" applyAlignment="1" applyProtection="1">
      <alignment horizontal="center" vertical="center" wrapText="1"/>
      <protection locked="0"/>
    </xf>
    <xf numFmtId="164" fontId="36" fillId="7" borderId="10" xfId="2" applyFont="1" applyFill="1" applyBorder="1" applyAlignment="1">
      <alignment horizontal="center" vertical="center"/>
    </xf>
    <xf numFmtId="164" fontId="34" fillId="0" borderId="10" xfId="2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9" fillId="0" borderId="3" xfId="0" applyFont="1" applyFill="1" applyBorder="1" applyAlignment="1">
      <alignment horizontal="center"/>
    </xf>
    <xf numFmtId="9" fontId="26" fillId="0" borderId="3" xfId="5" applyFont="1" applyFill="1" applyBorder="1" applyAlignment="1" applyProtection="1">
      <alignment horizontal="center" vertical="center"/>
    </xf>
    <xf numFmtId="9" fontId="26" fillId="0" borderId="4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4" fillId="0" borderId="0" xfId="0" applyFont="1" applyFill="1" applyBorder="1" applyAlignment="1">
      <alignment vertical="center"/>
    </xf>
    <xf numFmtId="166" fontId="35" fillId="0" borderId="31" xfId="0" applyNumberFormat="1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vertical="center" wrapText="1"/>
    </xf>
    <xf numFmtId="164" fontId="35" fillId="0" borderId="33" xfId="2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34" fillId="0" borderId="0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164" fontId="7" fillId="5" borderId="1" xfId="2" applyFont="1" applyFill="1" applyBorder="1" applyAlignment="1">
      <alignment horizontal="right" vertical="center" wrapText="1"/>
    </xf>
    <xf numFmtId="165" fontId="28" fillId="5" borderId="1" xfId="0" applyNumberFormat="1" applyFont="1" applyFill="1" applyBorder="1" applyAlignment="1">
      <alignment horizontal="right" vertical="center" wrapText="1"/>
    </xf>
    <xf numFmtId="164" fontId="30" fillId="5" borderId="1" xfId="2" applyFont="1" applyFill="1" applyBorder="1" applyAlignment="1">
      <alignment horizontal="righ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164" fontId="5" fillId="10" borderId="1" xfId="2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164" fontId="25" fillId="9" borderId="1" xfId="2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64" fontId="25" fillId="9" borderId="6" xfId="2" applyFont="1" applyFill="1" applyBorder="1" applyAlignment="1" applyProtection="1">
      <alignment horizontal="center" vertical="center"/>
    </xf>
    <xf numFmtId="164" fontId="29" fillId="0" borderId="6" xfId="2" applyFont="1" applyBorder="1" applyAlignment="1" applyProtection="1">
      <alignment horizontal="center"/>
    </xf>
    <xf numFmtId="164" fontId="26" fillId="0" borderId="6" xfId="2" applyFont="1" applyBorder="1" applyAlignment="1" applyProtection="1">
      <alignment horizontal="center" vertical="center"/>
    </xf>
    <xf numFmtId="0" fontId="25" fillId="0" borderId="5" xfId="0" applyFont="1" applyBorder="1" applyAlignment="1"/>
    <xf numFmtId="0" fontId="25" fillId="0" borderId="40" xfId="0" applyFont="1" applyBorder="1" applyAlignment="1"/>
    <xf numFmtId="0" fontId="25" fillId="0" borderId="41" xfId="0" applyFont="1" applyBorder="1" applyAlignment="1"/>
    <xf numFmtId="164" fontId="25" fillId="0" borderId="41" xfId="0" applyNumberFormat="1" applyFont="1" applyBorder="1" applyAlignment="1"/>
    <xf numFmtId="10" fontId="25" fillId="0" borderId="41" xfId="0" applyNumberFormat="1" applyFont="1" applyBorder="1" applyAlignment="1"/>
    <xf numFmtId="164" fontId="29" fillId="0" borderId="41" xfId="2" applyFont="1" applyFill="1" applyBorder="1" applyAlignment="1" applyProtection="1">
      <alignment horizontal="center"/>
    </xf>
    <xf numFmtId="10" fontId="29" fillId="0" borderId="41" xfId="5" applyNumberFormat="1" applyFont="1" applyFill="1" applyBorder="1" applyAlignment="1" applyProtection="1">
      <alignment horizontal="center"/>
    </xf>
    <xf numFmtId="164" fontId="29" fillId="0" borderId="41" xfId="5" applyNumberFormat="1" applyFont="1" applyFill="1" applyBorder="1" applyAlignment="1" applyProtection="1">
      <alignment horizontal="center"/>
    </xf>
    <xf numFmtId="164" fontId="29" fillId="0" borderId="42" xfId="2" applyFont="1" applyBorder="1" applyAlignment="1" applyProtection="1">
      <alignment horizontal="center"/>
    </xf>
    <xf numFmtId="0" fontId="36" fillId="9" borderId="8" xfId="0" applyFont="1" applyFill="1" applyBorder="1" applyAlignment="1">
      <alignment horizontal="center" vertical="center" wrapText="1"/>
    </xf>
    <xf numFmtId="0" fontId="36" fillId="9" borderId="8" xfId="0" applyFont="1" applyFill="1" applyBorder="1" applyAlignment="1">
      <alignment vertical="center" wrapText="1"/>
    </xf>
    <xf numFmtId="0" fontId="36" fillId="9" borderId="47" xfId="0" applyFont="1" applyFill="1" applyBorder="1" applyAlignment="1">
      <alignment horizontal="center" vertical="center" wrapText="1"/>
    </xf>
    <xf numFmtId="0" fontId="34" fillId="7" borderId="31" xfId="0" applyFont="1" applyFill="1" applyBorder="1" applyAlignment="1">
      <alignment horizontal="center" vertical="center"/>
    </xf>
    <xf numFmtId="164" fontId="36" fillId="9" borderId="7" xfId="2" applyFont="1" applyFill="1" applyBorder="1" applyAlignment="1">
      <alignment horizontal="center" vertical="center" wrapText="1"/>
    </xf>
    <xf numFmtId="164" fontId="36" fillId="9" borderId="46" xfId="2" applyFont="1" applyFill="1" applyBorder="1" applyAlignment="1">
      <alignment horizontal="center" vertical="center" wrapText="1"/>
    </xf>
    <xf numFmtId="164" fontId="34" fillId="0" borderId="11" xfId="2" applyFont="1" applyFill="1" applyBorder="1" applyAlignment="1">
      <alignment vertical="center"/>
    </xf>
    <xf numFmtId="164" fontId="0" fillId="0" borderId="0" xfId="2" applyFont="1"/>
    <xf numFmtId="164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164" fontId="0" fillId="0" borderId="0" xfId="2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41" fillId="0" borderId="2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41" fillId="0" borderId="29" xfId="0" applyFont="1" applyFill="1" applyBorder="1" applyAlignment="1">
      <alignment horizontal="left" vertical="center" wrapText="1"/>
    </xf>
    <xf numFmtId="0" fontId="41" fillId="0" borderId="26" xfId="0" applyFont="1" applyFill="1" applyBorder="1" applyAlignment="1">
      <alignment horizontal="left" vertical="center" wrapText="1"/>
    </xf>
    <xf numFmtId="164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10" fontId="41" fillId="0" borderId="24" xfId="3" applyNumberFormat="1" applyFont="1" applyFill="1" applyBorder="1" applyAlignment="1">
      <alignment horizontal="center" vertical="center" wrapText="1"/>
    </xf>
    <xf numFmtId="10" fontId="41" fillId="0" borderId="23" xfId="3" applyNumberFormat="1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41" fillId="0" borderId="28" xfId="0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41" fillId="0" borderId="3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32" fillId="0" borderId="1" xfId="2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left"/>
      <protection locked="0"/>
    </xf>
    <xf numFmtId="0" fontId="25" fillId="0" borderId="3" xfId="0" applyFont="1" applyBorder="1" applyAlignment="1" applyProtection="1">
      <alignment horizontal="left"/>
      <protection locked="0"/>
    </xf>
    <xf numFmtId="0" fontId="25" fillId="0" borderId="4" xfId="0" applyFont="1" applyBorder="1" applyAlignment="1" applyProtection="1">
      <alignment horizontal="left"/>
      <protection locked="0"/>
    </xf>
    <xf numFmtId="164" fontId="25" fillId="0" borderId="37" xfId="2" applyFont="1" applyBorder="1" applyAlignment="1" applyProtection="1">
      <alignment horizontal="center" vertical="center" wrapText="1"/>
    </xf>
    <xf numFmtId="164" fontId="25" fillId="0" borderId="38" xfId="2" applyFont="1" applyBorder="1" applyAlignment="1" applyProtection="1">
      <alignment horizontal="center" vertical="center" wrapText="1"/>
    </xf>
    <xf numFmtId="164" fontId="25" fillId="0" borderId="39" xfId="2" applyFont="1" applyBorder="1" applyAlignment="1" applyProtection="1">
      <alignment horizontal="center" vertical="center" wrapText="1"/>
    </xf>
    <xf numFmtId="10" fontId="0" fillId="0" borderId="24" xfId="3" applyNumberFormat="1" applyFont="1" applyBorder="1" applyAlignment="1" applyProtection="1">
      <alignment horizontal="center" vertical="center"/>
    </xf>
    <xf numFmtId="10" fontId="0" fillId="0" borderId="23" xfId="3" applyNumberFormat="1" applyFont="1" applyBorder="1" applyAlignment="1" applyProtection="1">
      <alignment horizontal="center" vertical="center"/>
    </xf>
    <xf numFmtId="0" fontId="0" fillId="0" borderId="34" xfId="0" applyFill="1" applyBorder="1" applyAlignment="1">
      <alignment horizontal="center" wrapText="1"/>
    </xf>
    <xf numFmtId="0" fontId="0" fillId="0" borderId="35" xfId="0" applyFill="1" applyBorder="1" applyAlignment="1">
      <alignment horizontal="center" wrapText="1"/>
    </xf>
    <xf numFmtId="0" fontId="0" fillId="0" borderId="36" xfId="0" applyFill="1" applyBorder="1" applyAlignment="1">
      <alignment horizontal="center" wrapText="1"/>
    </xf>
    <xf numFmtId="0" fontId="43" fillId="6" borderId="5" xfId="0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/>
    </xf>
    <xf numFmtId="0" fontId="43" fillId="6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5" fillId="9" borderId="5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4" fontId="25" fillId="9" borderId="6" xfId="2" applyFont="1" applyFill="1" applyBorder="1" applyAlignment="1" applyProtection="1">
      <alignment horizontal="center" vertical="center"/>
    </xf>
    <xf numFmtId="164" fontId="0" fillId="9" borderId="6" xfId="2" applyFont="1" applyFill="1" applyBorder="1" applyAlignment="1" applyProtection="1">
      <alignment horizontal="center" vertical="center"/>
    </xf>
    <xf numFmtId="164" fontId="29" fillId="8" borderId="2" xfId="2" applyFont="1" applyFill="1" applyBorder="1" applyAlignment="1" applyProtection="1">
      <alignment horizontal="center"/>
    </xf>
    <xf numFmtId="164" fontId="29" fillId="8" borderId="4" xfId="2" applyFont="1" applyFill="1" applyBorder="1" applyAlignment="1" applyProtection="1">
      <alignment horizontal="center"/>
    </xf>
    <xf numFmtId="9" fontId="29" fillId="0" borderId="2" xfId="5" applyFont="1" applyFill="1" applyBorder="1" applyAlignment="1" applyProtection="1">
      <alignment horizontal="center"/>
    </xf>
    <xf numFmtId="9" fontId="29" fillId="0" borderId="4" xfId="5" applyFont="1" applyFill="1" applyBorder="1" applyAlignment="1" applyProtection="1">
      <alignment horizontal="center"/>
    </xf>
    <xf numFmtId="0" fontId="29" fillId="8" borderId="1" xfId="0" applyFont="1" applyFill="1" applyBorder="1" applyAlignment="1">
      <alignment horizontal="center"/>
    </xf>
    <xf numFmtId="164" fontId="29" fillId="0" borderId="2" xfId="2" applyFont="1" applyFill="1" applyBorder="1" applyAlignment="1" applyProtection="1">
      <alignment horizontal="center"/>
    </xf>
    <xf numFmtId="164" fontId="29" fillId="0" borderId="4" xfId="2" applyFont="1" applyFill="1" applyBorder="1" applyAlignment="1" applyProtection="1">
      <alignment horizontal="center"/>
    </xf>
    <xf numFmtId="0" fontId="29" fillId="0" borderId="1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center"/>
    </xf>
    <xf numFmtId="0" fontId="29" fillId="8" borderId="4" xfId="0" applyFont="1" applyFill="1" applyBorder="1" applyAlignment="1">
      <alignment horizontal="center"/>
    </xf>
    <xf numFmtId="164" fontId="29" fillId="0" borderId="2" xfId="2" applyFont="1" applyBorder="1" applyAlignment="1" applyProtection="1">
      <alignment horizontal="center"/>
    </xf>
    <xf numFmtId="164" fontId="29" fillId="0" borderId="4" xfId="2" applyFont="1" applyBorder="1" applyAlignment="1" applyProtection="1">
      <alignment horizontal="center"/>
    </xf>
    <xf numFmtId="9" fontId="29" fillId="0" borderId="2" xfId="5" applyFont="1" applyBorder="1" applyAlignment="1" applyProtection="1">
      <alignment horizontal="center"/>
    </xf>
    <xf numFmtId="9" fontId="29" fillId="0" borderId="4" xfId="5" applyFont="1" applyBorder="1" applyAlignment="1" applyProtection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164" fontId="26" fillId="0" borderId="2" xfId="2" applyFont="1" applyFill="1" applyBorder="1" applyAlignment="1" applyProtection="1">
      <alignment horizontal="center" vertical="center"/>
    </xf>
    <xf numFmtId="164" fontId="26" fillId="0" borderId="4" xfId="2" applyFont="1" applyFill="1" applyBorder="1" applyAlignment="1" applyProtection="1">
      <alignment horizontal="center" vertical="center"/>
    </xf>
    <xf numFmtId="9" fontId="26" fillId="0" borderId="2" xfId="5" applyFont="1" applyFill="1" applyBorder="1" applyAlignment="1" applyProtection="1">
      <alignment horizontal="center" vertical="center"/>
    </xf>
    <xf numFmtId="9" fontId="26" fillId="0" borderId="4" xfId="5" applyFont="1" applyFill="1" applyBorder="1" applyAlignment="1" applyProtection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34" fillId="0" borderId="1" xfId="4" applyFont="1" applyBorder="1" applyAlignment="1">
      <alignment horizontal="left" vertic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33" fillId="2" borderId="5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left"/>
      <protection locked="0"/>
    </xf>
    <xf numFmtId="0" fontId="25" fillId="0" borderId="1" xfId="0" applyFont="1" applyBorder="1" applyAlignment="1" applyProtection="1">
      <alignment horizontal="left"/>
      <protection locked="0"/>
    </xf>
    <xf numFmtId="0" fontId="25" fillId="3" borderId="5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8" xfId="0" applyFont="1" applyFill="1" applyBorder="1" applyAlignment="1">
      <alignment horizontal="center" vertical="center"/>
    </xf>
    <xf numFmtId="10" fontId="25" fillId="0" borderId="37" xfId="0" applyNumberFormat="1" applyFont="1" applyBorder="1" applyAlignment="1">
      <alignment horizontal="center" vertical="center"/>
    </xf>
    <xf numFmtId="10" fontId="25" fillId="0" borderId="39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36" fillId="0" borderId="5" xfId="4" applyFont="1" applyBorder="1" applyAlignment="1">
      <alignment horizontal="right" vertical="center"/>
    </xf>
    <xf numFmtId="0" fontId="36" fillId="0" borderId="1" xfId="4" applyFont="1" applyBorder="1" applyAlignment="1">
      <alignment horizontal="right" vertical="center"/>
    </xf>
    <xf numFmtId="0" fontId="36" fillId="0" borderId="5" xfId="4" applyFont="1" applyBorder="1" applyAlignment="1">
      <alignment horizontal="center" vertical="center"/>
    </xf>
    <xf numFmtId="0" fontId="36" fillId="0" borderId="1" xfId="4" applyFont="1" applyBorder="1" applyAlignment="1">
      <alignment horizontal="center" vertical="center"/>
    </xf>
    <xf numFmtId="0" fontId="36" fillId="0" borderId="6" xfId="4" applyFont="1" applyBorder="1" applyAlignment="1">
      <alignment horizontal="center" vertical="center"/>
    </xf>
    <xf numFmtId="0" fontId="34" fillId="0" borderId="5" xfId="4" applyFont="1" applyBorder="1" applyAlignment="1">
      <alignment horizontal="center" vertical="center"/>
    </xf>
    <xf numFmtId="0" fontId="34" fillId="0" borderId="1" xfId="4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4" fillId="0" borderId="14" xfId="4" applyFont="1" applyBorder="1" applyAlignment="1" applyProtection="1">
      <alignment horizontal="center" vertical="center"/>
      <protection locked="0"/>
    </xf>
    <xf numFmtId="0" fontId="34" fillId="0" borderId="15" xfId="4" applyFont="1" applyBorder="1" applyAlignment="1" applyProtection="1">
      <alignment horizontal="center" vertical="center"/>
      <protection locked="0"/>
    </xf>
    <xf numFmtId="0" fontId="34" fillId="0" borderId="16" xfId="4" applyFont="1" applyBorder="1" applyAlignment="1" applyProtection="1">
      <alignment horizontal="center" vertical="center"/>
      <protection locked="0"/>
    </xf>
    <xf numFmtId="0" fontId="34" fillId="0" borderId="5" xfId="4" applyFont="1" applyBorder="1" applyAlignment="1" applyProtection="1">
      <alignment vertical="center" wrapText="1"/>
      <protection locked="0"/>
    </xf>
    <xf numFmtId="0" fontId="34" fillId="0" borderId="1" xfId="4" applyFont="1" applyBorder="1" applyAlignment="1" applyProtection="1">
      <alignment vertical="center" wrapText="1"/>
      <protection locked="0"/>
    </xf>
    <xf numFmtId="0" fontId="34" fillId="0" borderId="6" xfId="4" applyFont="1" applyBorder="1" applyAlignment="1" applyProtection="1">
      <alignment vertical="center" wrapText="1"/>
      <protection locked="0"/>
    </xf>
    <xf numFmtId="0" fontId="34" fillId="0" borderId="5" xfId="4" applyFont="1" applyBorder="1" applyAlignment="1">
      <alignment vertical="center" wrapText="1"/>
    </xf>
    <xf numFmtId="0" fontId="34" fillId="0" borderId="1" xfId="4" applyFont="1" applyBorder="1" applyAlignment="1">
      <alignment vertical="center" wrapText="1"/>
    </xf>
    <xf numFmtId="0" fontId="34" fillId="0" borderId="6" xfId="4" applyFont="1" applyBorder="1" applyAlignment="1">
      <alignment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45" fillId="0" borderId="43" xfId="0" applyFont="1" applyFill="1" applyBorder="1" applyAlignment="1">
      <alignment horizontal="center" vertical="center"/>
    </xf>
    <xf numFmtId="0" fontId="45" fillId="0" borderId="44" xfId="0" applyFont="1" applyFill="1" applyBorder="1" applyAlignment="1">
      <alignment horizontal="center" vertical="center"/>
    </xf>
    <xf numFmtId="0" fontId="45" fillId="0" borderId="45" xfId="0" applyFont="1" applyFill="1" applyBorder="1" applyAlignment="1">
      <alignment horizontal="center" vertical="center"/>
    </xf>
  </cellXfs>
  <cellStyles count="7">
    <cellStyle name="Moeda" xfId="2" builtinId="4"/>
    <cellStyle name="Normal" xfId="0" builtinId="0"/>
    <cellStyle name="Normal 2 2" xfId="6" xr:uid="{00000000-0005-0000-0000-000002000000}"/>
    <cellStyle name="Normal 2 22" xfId="4" xr:uid="{00000000-0005-0000-0000-000003000000}"/>
    <cellStyle name="Porcentagem" xfId="3" builtinId="5"/>
    <cellStyle name="Porcentagem 2" xfId="5" xr:uid="{00000000-0005-0000-0000-000005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85725</xdr:rowOff>
    </xdr:from>
    <xdr:to>
      <xdr:col>5</xdr:col>
      <xdr:colOff>862853</xdr:colOff>
      <xdr:row>0</xdr:row>
      <xdr:rowOff>1095375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EFD08C00-53B5-4A39-9EFF-DDF4E7D3C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412" y="85725"/>
          <a:ext cx="3989294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168097</xdr:colOff>
      <xdr:row>0</xdr:row>
      <xdr:rowOff>96931</xdr:rowOff>
    </xdr:from>
    <xdr:to>
      <xdr:col>13</xdr:col>
      <xdr:colOff>540132</xdr:colOff>
      <xdr:row>0</xdr:row>
      <xdr:rowOff>1106581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C47CF5E2-3B0E-4A3D-8437-3BC2136A0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7244" y="96931"/>
          <a:ext cx="41148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23</xdr:row>
      <xdr:rowOff>47625</xdr:rowOff>
    </xdr:from>
    <xdr:to>
      <xdr:col>8</xdr:col>
      <xdr:colOff>219075</xdr:colOff>
      <xdr:row>25</xdr:row>
      <xdr:rowOff>123825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76F5127-68F1-4F58-9A23-7711DDE32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1" t="-20001" b="-2"/>
        <a:stretch>
          <a:fillRect/>
        </a:stretch>
      </xdr:blipFill>
      <xdr:spPr bwMode="auto">
        <a:xfrm>
          <a:off x="790575" y="5334000"/>
          <a:ext cx="4076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31</xdr:row>
      <xdr:rowOff>38100</xdr:rowOff>
    </xdr:from>
    <xdr:to>
      <xdr:col>10</xdr:col>
      <xdr:colOff>0</xdr:colOff>
      <xdr:row>43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AF28C4D2-1000-4B64-87F6-A9A1C7BF8DB5}"/>
            </a:ext>
          </a:extLst>
        </xdr:cNvPr>
        <xdr:cNvGrpSpPr>
          <a:grpSpLocks/>
        </xdr:cNvGrpSpPr>
      </xdr:nvGrpSpPr>
      <xdr:grpSpPr bwMode="auto">
        <a:xfrm>
          <a:off x="228600" y="7077075"/>
          <a:ext cx="6400800" cy="2133600"/>
          <a:chOff x="0" y="7874000"/>
          <a:chExt cx="6138332" cy="2402417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7324A3F6-8F1C-48E9-8BE2-1F32B2D557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contrast="2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77927"/>
          <a:stretch>
            <a:fillRect/>
          </a:stretch>
        </xdr:blipFill>
        <xdr:spPr bwMode="auto">
          <a:xfrm>
            <a:off x="0" y="7874000"/>
            <a:ext cx="6138332" cy="1365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2A33F911-DF24-4943-B158-40D796B3A1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contrast="2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9479" b="23924"/>
          <a:stretch>
            <a:fillRect/>
          </a:stretch>
        </xdr:blipFill>
        <xdr:spPr bwMode="auto">
          <a:xfrm>
            <a:off x="0" y="9249834"/>
            <a:ext cx="6138332" cy="10265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314325</xdr:colOff>
      <xdr:row>1</xdr:row>
      <xdr:rowOff>9525</xdr:rowOff>
    </xdr:from>
    <xdr:to>
      <xdr:col>8</xdr:col>
      <xdr:colOff>772822</xdr:colOff>
      <xdr:row>1</xdr:row>
      <xdr:rowOff>1133475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EBB6B8A-6CF5-4F54-81BB-EF9E5F47C8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97" b="24705"/>
        <a:stretch/>
      </xdr:blipFill>
      <xdr:spPr>
        <a:xfrm>
          <a:off x="1000125" y="9525"/>
          <a:ext cx="4420897" cy="112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400050</xdr:colOff>
      <xdr:row>36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067" t="14557" r="12301" b="8988"/>
        <a:stretch/>
      </xdr:blipFill>
      <xdr:spPr>
        <a:xfrm>
          <a:off x="0" y="0"/>
          <a:ext cx="8629650" cy="6553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ardo\Desktop\AVAN&#199;AR%20CIDADES\LOTE%2005\arquivos%20enviar%20CEF\planilha%20multipla%20-%20LOTE%2005%20atualiz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  <sheetName val="planilha multipla - LOTE 05 atu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8"/>
  <sheetViews>
    <sheetView showOutlineSymbols="0" showWhiteSpace="0" zoomScale="85" zoomScaleNormal="85" workbookViewId="0">
      <selection activeCell="G75" sqref="G75"/>
    </sheetView>
  </sheetViews>
  <sheetFormatPr defaultRowHeight="14.25" x14ac:dyDescent="0.2"/>
  <cols>
    <col min="1" max="1" width="7.625" style="2" customWidth="1"/>
    <col min="2" max="2" width="10" style="3" bestFit="1" customWidth="1"/>
    <col min="3" max="3" width="12.625" style="3" customWidth="1"/>
    <col min="4" max="4" width="58.125" style="2" customWidth="1"/>
    <col min="5" max="5" width="8" style="2" bestFit="1" customWidth="1"/>
    <col min="6" max="6" width="13" style="8" bestFit="1" customWidth="1"/>
    <col min="7" max="7" width="13" style="6" bestFit="1" customWidth="1"/>
    <col min="8" max="8" width="12.875" style="6" customWidth="1"/>
    <col min="9" max="9" width="14" style="6" customWidth="1"/>
    <col min="10" max="10" width="10.75" style="2" customWidth="1"/>
    <col min="11" max="11" width="9" style="2"/>
    <col min="12" max="12" width="18.625" style="2" customWidth="1"/>
    <col min="13" max="16384" width="9" style="2"/>
  </cols>
  <sheetData>
    <row r="1" spans="1:15" ht="103.5" customHeight="1" x14ac:dyDescent="0.25">
      <c r="A1" s="186" t="s">
        <v>222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5" s="47" customFormat="1" ht="20.25" customHeight="1" x14ac:dyDescent="0.2">
      <c r="A2" s="45" t="s">
        <v>195</v>
      </c>
      <c r="B2" s="188" t="s">
        <v>224</v>
      </c>
      <c r="C2" s="188"/>
      <c r="D2" s="188"/>
      <c r="E2" s="188"/>
      <c r="F2" s="189"/>
      <c r="G2" s="119" t="s">
        <v>1</v>
      </c>
      <c r="H2" s="46" t="s">
        <v>0</v>
      </c>
      <c r="I2" s="185" t="s">
        <v>2</v>
      </c>
      <c r="J2" s="185"/>
    </row>
    <row r="3" spans="1:15" s="47" customFormat="1" ht="21.75" customHeight="1" x14ac:dyDescent="0.2">
      <c r="A3" s="45" t="s">
        <v>223</v>
      </c>
      <c r="B3" s="202" t="s">
        <v>779</v>
      </c>
      <c r="C3" s="202"/>
      <c r="D3" s="202"/>
      <c r="E3" s="202"/>
      <c r="F3" s="203"/>
      <c r="G3" s="192">
        <f>BDI!J22</f>
        <v>0.22470000000000001</v>
      </c>
      <c r="H3" s="194" t="s">
        <v>843</v>
      </c>
      <c r="I3" s="196" t="s">
        <v>3</v>
      </c>
      <c r="J3" s="197"/>
    </row>
    <row r="4" spans="1:15" s="47" customFormat="1" ht="25.5" customHeight="1" x14ac:dyDescent="0.2">
      <c r="A4" s="45" t="s">
        <v>198</v>
      </c>
      <c r="B4" s="200" t="s">
        <v>775</v>
      </c>
      <c r="C4" s="200"/>
      <c r="D4" s="200"/>
      <c r="E4" s="200"/>
      <c r="F4" s="201"/>
      <c r="G4" s="193"/>
      <c r="H4" s="195"/>
      <c r="I4" s="198"/>
      <c r="J4" s="199"/>
    </row>
    <row r="5" spans="1:15" ht="20.25" customHeight="1" x14ac:dyDescent="0.2">
      <c r="A5" s="204" t="s">
        <v>226</v>
      </c>
      <c r="B5" s="206"/>
      <c r="C5" s="206"/>
      <c r="D5" s="206"/>
      <c r="E5" s="206"/>
      <c r="F5" s="205"/>
      <c r="G5" s="204" t="s">
        <v>225</v>
      </c>
      <c r="H5" s="205"/>
      <c r="I5" s="190">
        <f>H104</f>
        <v>4799201.8399999989</v>
      </c>
      <c r="J5" s="191"/>
      <c r="L5" s="106"/>
    </row>
    <row r="6" spans="1:15" ht="30" customHeight="1" x14ac:dyDescent="0.2">
      <c r="A6" s="141" t="s">
        <v>4</v>
      </c>
      <c r="B6" s="142" t="s">
        <v>5</v>
      </c>
      <c r="C6" s="141" t="s">
        <v>6</v>
      </c>
      <c r="D6" s="143" t="s">
        <v>7</v>
      </c>
      <c r="E6" s="144" t="s">
        <v>8</v>
      </c>
      <c r="F6" s="145" t="s">
        <v>9</v>
      </c>
      <c r="G6" s="146" t="s">
        <v>10</v>
      </c>
      <c r="H6" s="146" t="s">
        <v>11</v>
      </c>
      <c r="I6" s="146" t="s">
        <v>12</v>
      </c>
      <c r="J6" s="142" t="s">
        <v>13</v>
      </c>
    </row>
    <row r="7" spans="1:15" ht="24.75" customHeight="1" x14ac:dyDescent="0.2">
      <c r="A7" s="137" t="s">
        <v>140</v>
      </c>
      <c r="B7" s="212" t="s">
        <v>139</v>
      </c>
      <c r="C7" s="213"/>
      <c r="D7" s="213"/>
      <c r="E7" s="213"/>
      <c r="F7" s="213"/>
      <c r="G7" s="213"/>
      <c r="H7" s="214"/>
      <c r="I7" s="140">
        <f>SUM(I8:I15)</f>
        <v>109704.55</v>
      </c>
      <c r="J7" s="139">
        <f t="shared" ref="J7:J35" si="0">I7/$H$104</f>
        <v>2.2858915640022348E-2</v>
      </c>
    </row>
    <row r="8" spans="1:15" ht="24" customHeight="1" x14ac:dyDescent="0.2">
      <c r="A8" s="9" t="s">
        <v>14</v>
      </c>
      <c r="B8" s="10" t="s">
        <v>15</v>
      </c>
      <c r="C8" s="11" t="s">
        <v>16</v>
      </c>
      <c r="D8" s="9" t="s">
        <v>17</v>
      </c>
      <c r="E8" s="11" t="s">
        <v>137</v>
      </c>
      <c r="F8" s="12">
        <f>O9</f>
        <v>1.25</v>
      </c>
      <c r="G8" s="20">
        <v>18015.849999999999</v>
      </c>
      <c r="H8" s="13">
        <f t="shared" ref="H8:H15" si="1">ROUND(G8+($G$3*G8),2)</f>
        <v>22064.01</v>
      </c>
      <c r="I8" s="13">
        <f>ROUND(F8*H8,2)</f>
        <v>27580.01</v>
      </c>
      <c r="J8" s="14">
        <f t="shared" si="0"/>
        <v>5.7467910122321513E-3</v>
      </c>
      <c r="L8" s="2">
        <v>8</v>
      </c>
      <c r="M8" s="2">
        <v>22</v>
      </c>
      <c r="N8" s="2">
        <f>L8*M8</f>
        <v>176</v>
      </c>
      <c r="O8" s="2">
        <f>N9/N8</f>
        <v>0.125</v>
      </c>
    </row>
    <row r="9" spans="1:15" ht="24" customHeight="1" x14ac:dyDescent="0.2">
      <c r="A9" s="9" t="s">
        <v>18</v>
      </c>
      <c r="B9" s="10" t="s">
        <v>19</v>
      </c>
      <c r="C9" s="11" t="s">
        <v>16</v>
      </c>
      <c r="D9" s="9" t="s">
        <v>20</v>
      </c>
      <c r="E9" s="11" t="s">
        <v>137</v>
      </c>
      <c r="F9" s="12">
        <v>2.5</v>
      </c>
      <c r="G9" s="20">
        <v>3165.65</v>
      </c>
      <c r="H9" s="13">
        <f t="shared" si="1"/>
        <v>3876.97</v>
      </c>
      <c r="I9" s="13">
        <f t="shared" ref="I9:I93" si="2">ROUND(F9*H9,2)</f>
        <v>9692.43</v>
      </c>
      <c r="J9" s="14">
        <f t="shared" si="0"/>
        <v>2.0195920745021221E-3</v>
      </c>
      <c r="L9" s="2">
        <v>2</v>
      </c>
      <c r="M9" s="2">
        <v>11</v>
      </c>
      <c r="N9" s="2">
        <f>L9*M9</f>
        <v>22</v>
      </c>
      <c r="O9" s="2">
        <f>O8*10</f>
        <v>1.25</v>
      </c>
    </row>
    <row r="10" spans="1:15" ht="24" customHeight="1" x14ac:dyDescent="0.2">
      <c r="A10" s="9" t="s">
        <v>455</v>
      </c>
      <c r="B10" s="10" t="s">
        <v>21</v>
      </c>
      <c r="C10" s="11" t="s">
        <v>16</v>
      </c>
      <c r="D10" s="9" t="s">
        <v>22</v>
      </c>
      <c r="E10" s="11" t="s">
        <v>137</v>
      </c>
      <c r="F10" s="12">
        <v>5</v>
      </c>
      <c r="G10" s="20">
        <v>4613.74</v>
      </c>
      <c r="H10" s="13">
        <f t="shared" si="1"/>
        <v>5650.45</v>
      </c>
      <c r="I10" s="13">
        <f t="shared" si="2"/>
        <v>28252.25</v>
      </c>
      <c r="J10" s="14">
        <f t="shared" si="0"/>
        <v>5.8868643040860327E-3</v>
      </c>
    </row>
    <row r="11" spans="1:15" ht="24" customHeight="1" x14ac:dyDescent="0.2">
      <c r="A11" s="9" t="s">
        <v>456</v>
      </c>
      <c r="B11" s="10" t="s">
        <v>23</v>
      </c>
      <c r="C11" s="11" t="s">
        <v>16</v>
      </c>
      <c r="D11" s="9" t="s">
        <v>24</v>
      </c>
      <c r="E11" s="15" t="s">
        <v>25</v>
      </c>
      <c r="F11" s="12">
        <v>60</v>
      </c>
      <c r="G11" s="20">
        <v>20.04</v>
      </c>
      <c r="H11" s="13">
        <f t="shared" si="1"/>
        <v>24.54</v>
      </c>
      <c r="I11" s="13">
        <f t="shared" si="2"/>
        <v>1472.4</v>
      </c>
      <c r="J11" s="14">
        <f t="shared" si="0"/>
        <v>3.0680101589559326E-4</v>
      </c>
      <c r="L11" s="2">
        <v>4</v>
      </c>
      <c r="M11" s="2">
        <v>22</v>
      </c>
      <c r="N11" s="2">
        <f>L11*M11</f>
        <v>88</v>
      </c>
      <c r="O11" s="2">
        <f>N11/N8</f>
        <v>0.5</v>
      </c>
    </row>
    <row r="12" spans="1:15" ht="24" customHeight="1" x14ac:dyDescent="0.2">
      <c r="A12" s="9" t="s">
        <v>457</v>
      </c>
      <c r="B12" s="10" t="s">
        <v>26</v>
      </c>
      <c r="C12" s="11" t="s">
        <v>16</v>
      </c>
      <c r="D12" s="9" t="s">
        <v>27</v>
      </c>
      <c r="E12" s="15" t="s">
        <v>25</v>
      </c>
      <c r="F12" s="12">
        <v>240</v>
      </c>
      <c r="G12" s="20">
        <v>19.95</v>
      </c>
      <c r="H12" s="13">
        <f t="shared" si="1"/>
        <v>24.43</v>
      </c>
      <c r="I12" s="13">
        <f>ROUND(F12*H12,2)</f>
        <v>5863.2</v>
      </c>
      <c r="J12" s="14">
        <f t="shared" si="0"/>
        <v>1.2217031488719384E-3</v>
      </c>
      <c r="O12" s="2">
        <f>O11*10</f>
        <v>5</v>
      </c>
    </row>
    <row r="13" spans="1:15" ht="24" customHeight="1" x14ac:dyDescent="0.2">
      <c r="A13" s="9" t="s">
        <v>458</v>
      </c>
      <c r="B13" s="10" t="s">
        <v>28</v>
      </c>
      <c r="C13" s="11" t="s">
        <v>16</v>
      </c>
      <c r="D13" s="9" t="s">
        <v>29</v>
      </c>
      <c r="E13" s="15" t="s">
        <v>25</v>
      </c>
      <c r="F13" s="12">
        <v>120</v>
      </c>
      <c r="G13" s="20">
        <v>9.85</v>
      </c>
      <c r="H13" s="13">
        <f t="shared" si="1"/>
        <v>12.06</v>
      </c>
      <c r="I13" s="13">
        <f t="shared" si="2"/>
        <v>1447.2</v>
      </c>
      <c r="J13" s="14">
        <f t="shared" si="0"/>
        <v>3.0155014276290581E-4</v>
      </c>
    </row>
    <row r="14" spans="1:15" s="4" customFormat="1" ht="29.25" customHeight="1" x14ac:dyDescent="0.2">
      <c r="A14" s="9" t="s">
        <v>459</v>
      </c>
      <c r="B14" s="17" t="s">
        <v>132</v>
      </c>
      <c r="C14" s="17" t="s">
        <v>131</v>
      </c>
      <c r="D14" s="18" t="s">
        <v>135</v>
      </c>
      <c r="E14" s="11" t="s">
        <v>138</v>
      </c>
      <c r="F14" s="28">
        <v>6</v>
      </c>
      <c r="G14" s="13">
        <f>CPU´S!H234</f>
        <v>4506.5899999999992</v>
      </c>
      <c r="H14" s="13">
        <f t="shared" si="1"/>
        <v>5519.22</v>
      </c>
      <c r="I14" s="13">
        <f t="shared" si="2"/>
        <v>33115.32</v>
      </c>
      <c r="J14" s="14">
        <f t="shared" si="0"/>
        <v>6.900172383664532E-3</v>
      </c>
    </row>
    <row r="15" spans="1:15" s="4" customFormat="1" ht="24" customHeight="1" x14ac:dyDescent="0.2">
      <c r="A15" s="9" t="s">
        <v>460</v>
      </c>
      <c r="B15" s="17" t="s">
        <v>134</v>
      </c>
      <c r="C15" s="17" t="s">
        <v>133</v>
      </c>
      <c r="D15" s="16" t="s">
        <v>136</v>
      </c>
      <c r="E15" s="11" t="s">
        <v>138</v>
      </c>
      <c r="F15" s="28">
        <v>1</v>
      </c>
      <c r="G15" s="13">
        <v>1863.1</v>
      </c>
      <c r="H15" s="13">
        <f t="shared" si="1"/>
        <v>2281.7399999999998</v>
      </c>
      <c r="I15" s="13">
        <f t="shared" si="2"/>
        <v>2281.7399999999998</v>
      </c>
      <c r="J15" s="14">
        <f t="shared" si="0"/>
        <v>4.7544155800707068E-4</v>
      </c>
      <c r="L15" s="107"/>
    </row>
    <row r="16" spans="1:15" ht="24" customHeight="1" x14ac:dyDescent="0.2">
      <c r="A16" s="137" t="s">
        <v>30</v>
      </c>
      <c r="B16" s="212" t="s">
        <v>31</v>
      </c>
      <c r="C16" s="213"/>
      <c r="D16" s="213"/>
      <c r="E16" s="213"/>
      <c r="F16" s="213"/>
      <c r="G16" s="213"/>
      <c r="H16" s="214"/>
      <c r="I16" s="138">
        <f>SUM(I17:I21)</f>
        <v>18222.120000000003</v>
      </c>
      <c r="J16" s="139">
        <f t="shared" si="0"/>
        <v>3.7969063622462704E-3</v>
      </c>
      <c r="L16" s="106"/>
    </row>
    <row r="17" spans="1:12" s="4" customFormat="1" ht="45.75" customHeight="1" x14ac:dyDescent="0.2">
      <c r="A17" s="9" t="s">
        <v>141</v>
      </c>
      <c r="B17" s="17" t="s">
        <v>814</v>
      </c>
      <c r="C17" s="17" t="s">
        <v>131</v>
      </c>
      <c r="D17" s="18" t="s">
        <v>143</v>
      </c>
      <c r="E17" s="11" t="s">
        <v>47</v>
      </c>
      <c r="F17" s="19">
        <v>8</v>
      </c>
      <c r="G17" s="20">
        <f>CPU´S!H5</f>
        <v>413.18</v>
      </c>
      <c r="H17" s="21">
        <f t="shared" ref="H17:H21" si="3">ROUND(G17+($G$3*G17),2)</f>
        <v>506.02</v>
      </c>
      <c r="I17" s="20">
        <f t="shared" si="2"/>
        <v>4048.16</v>
      </c>
      <c r="J17" s="22">
        <f t="shared" si="0"/>
        <v>8.435069278103129E-4</v>
      </c>
    </row>
    <row r="18" spans="1:12" ht="32.25" customHeight="1" x14ac:dyDescent="0.2">
      <c r="A18" s="23" t="s">
        <v>32</v>
      </c>
      <c r="B18" s="24" t="s">
        <v>33</v>
      </c>
      <c r="C18" s="25" t="s">
        <v>16</v>
      </c>
      <c r="D18" s="23" t="s">
        <v>34</v>
      </c>
      <c r="E18" s="11" t="s">
        <v>137</v>
      </c>
      <c r="F18" s="26">
        <v>10</v>
      </c>
      <c r="G18" s="120">
        <v>830</v>
      </c>
      <c r="H18" s="21">
        <f t="shared" si="3"/>
        <v>1016.5</v>
      </c>
      <c r="I18" s="13">
        <f t="shared" si="2"/>
        <v>10165</v>
      </c>
      <c r="J18" s="14">
        <f t="shared" si="0"/>
        <v>2.1180605314987133E-3</v>
      </c>
    </row>
    <row r="19" spans="1:12" ht="72.75" customHeight="1" x14ac:dyDescent="0.2">
      <c r="A19" s="9" t="s">
        <v>142</v>
      </c>
      <c r="B19" s="27" t="s">
        <v>149</v>
      </c>
      <c r="C19" s="27" t="s">
        <v>131</v>
      </c>
      <c r="D19" s="18" t="s">
        <v>148</v>
      </c>
      <c r="E19" s="11" t="s">
        <v>47</v>
      </c>
      <c r="F19" s="26">
        <v>8</v>
      </c>
      <c r="G19" s="21">
        <f>CPU´S!H14</f>
        <v>135.51</v>
      </c>
      <c r="H19" s="21">
        <f t="shared" si="3"/>
        <v>165.96</v>
      </c>
      <c r="I19" s="13">
        <f t="shared" si="2"/>
        <v>1327.68</v>
      </c>
      <c r="J19" s="14">
        <f t="shared" si="0"/>
        <v>2.7664600161930269E-4</v>
      </c>
    </row>
    <row r="20" spans="1:12" ht="28.5" customHeight="1" x14ac:dyDescent="0.2">
      <c r="A20" s="23" t="s">
        <v>35</v>
      </c>
      <c r="B20" s="24" t="s">
        <v>36</v>
      </c>
      <c r="C20" s="25" t="s">
        <v>16</v>
      </c>
      <c r="D20" s="23" t="s">
        <v>37</v>
      </c>
      <c r="E20" s="11" t="s">
        <v>144</v>
      </c>
      <c r="F20" s="26">
        <v>30</v>
      </c>
      <c r="G20" s="120">
        <v>44.9</v>
      </c>
      <c r="H20" s="21">
        <f t="shared" si="3"/>
        <v>54.99</v>
      </c>
      <c r="I20" s="13">
        <f t="shared" si="2"/>
        <v>1649.7</v>
      </c>
      <c r="J20" s="14">
        <f t="shared" si="0"/>
        <v>3.4374465900771542E-4</v>
      </c>
    </row>
    <row r="21" spans="1:12" ht="33.75" customHeight="1" x14ac:dyDescent="0.2">
      <c r="A21" s="16" t="s">
        <v>150</v>
      </c>
      <c r="B21" s="17" t="s">
        <v>151</v>
      </c>
      <c r="C21" s="17" t="s">
        <v>131</v>
      </c>
      <c r="D21" s="18" t="s">
        <v>152</v>
      </c>
      <c r="E21" s="11" t="s">
        <v>144</v>
      </c>
      <c r="F21" s="26">
        <v>3</v>
      </c>
      <c r="G21" s="21">
        <f>CPU´S!H40</f>
        <v>280.77</v>
      </c>
      <c r="H21" s="21">
        <f t="shared" si="3"/>
        <v>343.86</v>
      </c>
      <c r="I21" s="13">
        <f t="shared" ref="I21" si="4">ROUND(F21*H21,2)</f>
        <v>1031.58</v>
      </c>
      <c r="J21" s="14">
        <f t="shared" si="0"/>
        <v>2.1494824231022553E-4</v>
      </c>
    </row>
    <row r="22" spans="1:12" ht="24" customHeight="1" x14ac:dyDescent="0.2">
      <c r="A22" s="137" t="s">
        <v>38</v>
      </c>
      <c r="B22" s="212" t="s">
        <v>39</v>
      </c>
      <c r="C22" s="213"/>
      <c r="D22" s="213"/>
      <c r="E22" s="213"/>
      <c r="F22" s="213"/>
      <c r="G22" s="213"/>
      <c r="H22" s="214"/>
      <c r="I22" s="138">
        <f>SUM(I23:I32)</f>
        <v>568837.7699999999</v>
      </c>
      <c r="J22" s="139">
        <f t="shared" si="0"/>
        <v>0.11852757791074693</v>
      </c>
    </row>
    <row r="23" spans="1:12" ht="60" customHeight="1" x14ac:dyDescent="0.2">
      <c r="A23" s="109" t="s">
        <v>463</v>
      </c>
      <c r="B23" s="10" t="s">
        <v>41</v>
      </c>
      <c r="C23" s="11" t="s">
        <v>16</v>
      </c>
      <c r="D23" s="9" t="s">
        <v>42</v>
      </c>
      <c r="E23" s="15" t="s">
        <v>40</v>
      </c>
      <c r="F23" s="12">
        <v>6942.52</v>
      </c>
      <c r="G23" s="20">
        <v>10.59</v>
      </c>
      <c r="H23" s="21">
        <f t="shared" ref="H23:H32" si="5">ROUND(G23+($G$3*G23),2)</f>
        <v>12.97</v>
      </c>
      <c r="I23" s="13">
        <f t="shared" si="2"/>
        <v>90044.479999999996</v>
      </c>
      <c r="J23" s="14">
        <f t="shared" si="0"/>
        <v>1.8762386538841637E-2</v>
      </c>
    </row>
    <row r="24" spans="1:12" ht="31.5" customHeight="1" x14ac:dyDescent="0.2">
      <c r="A24" s="109" t="s">
        <v>464</v>
      </c>
      <c r="B24" s="10" t="s">
        <v>43</v>
      </c>
      <c r="C24" s="11" t="s">
        <v>16</v>
      </c>
      <c r="D24" s="9" t="s">
        <v>44</v>
      </c>
      <c r="E24" s="15" t="s">
        <v>40</v>
      </c>
      <c r="F24" s="12">
        <v>365.4</v>
      </c>
      <c r="G24" s="20">
        <v>64.48</v>
      </c>
      <c r="H24" s="21">
        <f t="shared" si="5"/>
        <v>78.97</v>
      </c>
      <c r="I24" s="13">
        <f t="shared" si="2"/>
        <v>28855.64</v>
      </c>
      <c r="J24" s="14">
        <f t="shared" si="0"/>
        <v>6.0125914604166773E-3</v>
      </c>
    </row>
    <row r="25" spans="1:12" ht="40.5" customHeight="1" x14ac:dyDescent="0.2">
      <c r="A25" s="109" t="s">
        <v>465</v>
      </c>
      <c r="B25" s="10" t="s">
        <v>45</v>
      </c>
      <c r="C25" s="11" t="s">
        <v>16</v>
      </c>
      <c r="D25" s="9" t="s">
        <v>46</v>
      </c>
      <c r="E25" s="15" t="s">
        <v>47</v>
      </c>
      <c r="F25" s="12">
        <v>3944.42</v>
      </c>
      <c r="G25" s="20">
        <v>21.77</v>
      </c>
      <c r="H25" s="21">
        <f t="shared" si="5"/>
        <v>26.66</v>
      </c>
      <c r="I25" s="13">
        <f t="shared" si="2"/>
        <v>105158.24</v>
      </c>
      <c r="J25" s="14">
        <f t="shared" si="0"/>
        <v>2.1911610202249802E-2</v>
      </c>
    </row>
    <row r="26" spans="1:12" ht="33.75" customHeight="1" x14ac:dyDescent="0.2">
      <c r="A26" s="109" t="s">
        <v>466</v>
      </c>
      <c r="B26" s="10" t="s">
        <v>48</v>
      </c>
      <c r="C26" s="11" t="s">
        <v>16</v>
      </c>
      <c r="D26" s="9" t="s">
        <v>49</v>
      </c>
      <c r="E26" s="15" t="s">
        <v>47</v>
      </c>
      <c r="F26" s="12">
        <v>3104.87</v>
      </c>
      <c r="G26" s="20">
        <v>38.61</v>
      </c>
      <c r="H26" s="21">
        <f t="shared" si="5"/>
        <v>47.29</v>
      </c>
      <c r="I26" s="13">
        <f t="shared" si="2"/>
        <v>146829.29999999999</v>
      </c>
      <c r="J26" s="14">
        <f t="shared" si="0"/>
        <v>3.0594524859575405E-2</v>
      </c>
    </row>
    <row r="27" spans="1:12" s="83" customFormat="1" ht="31.5" customHeight="1" x14ac:dyDescent="0.2">
      <c r="A27" s="109" t="s">
        <v>467</v>
      </c>
      <c r="B27" s="10" t="s">
        <v>461</v>
      </c>
      <c r="C27" s="11" t="s">
        <v>16</v>
      </c>
      <c r="D27" s="9" t="s">
        <v>462</v>
      </c>
      <c r="E27" s="11" t="s">
        <v>47</v>
      </c>
      <c r="F27" s="12">
        <v>1071.3499999999999</v>
      </c>
      <c r="G27" s="20">
        <v>4.71</v>
      </c>
      <c r="H27" s="21">
        <f t="shared" ref="H27" si="6">ROUND(G27+($G$3*G27),2)</f>
        <v>5.77</v>
      </c>
      <c r="I27" s="13">
        <f t="shared" ref="I27" si="7">ROUND(F27*H27,2)</f>
        <v>6181.69</v>
      </c>
      <c r="J27" s="14">
        <f t="shared" si="0"/>
        <v>1.288066267285812E-3</v>
      </c>
    </row>
    <row r="28" spans="1:12" ht="31.5" customHeight="1" x14ac:dyDescent="0.2">
      <c r="A28" s="109" t="s">
        <v>468</v>
      </c>
      <c r="B28" s="10" t="s">
        <v>50</v>
      </c>
      <c r="C28" s="11" t="s">
        <v>16</v>
      </c>
      <c r="D28" s="9" t="s">
        <v>51</v>
      </c>
      <c r="E28" s="15" t="s">
        <v>47</v>
      </c>
      <c r="F28" s="12">
        <v>1446.92</v>
      </c>
      <c r="G28" s="20">
        <v>2.31</v>
      </c>
      <c r="H28" s="21">
        <f t="shared" si="5"/>
        <v>2.83</v>
      </c>
      <c r="I28" s="13">
        <f t="shared" si="2"/>
        <v>4094.78</v>
      </c>
      <c r="J28" s="14">
        <f t="shared" si="0"/>
        <v>8.5322104310578471E-4</v>
      </c>
    </row>
    <row r="29" spans="1:12" s="118" customFormat="1" ht="57" customHeight="1" x14ac:dyDescent="0.2">
      <c r="A29" s="109" t="s">
        <v>469</v>
      </c>
      <c r="B29" s="10" t="s">
        <v>52</v>
      </c>
      <c r="C29" s="11" t="s">
        <v>16</v>
      </c>
      <c r="D29" s="9" t="s">
        <v>53</v>
      </c>
      <c r="E29" s="15" t="s">
        <v>40</v>
      </c>
      <c r="F29" s="12">
        <v>2771.49</v>
      </c>
      <c r="G29" s="20">
        <v>13.42</v>
      </c>
      <c r="H29" s="21">
        <f t="shared" si="5"/>
        <v>16.440000000000001</v>
      </c>
      <c r="I29" s="13">
        <f t="shared" si="2"/>
        <v>45563.3</v>
      </c>
      <c r="J29" s="14">
        <f t="shared" si="0"/>
        <v>9.4939328494673212E-3</v>
      </c>
      <c r="L29" s="8"/>
    </row>
    <row r="30" spans="1:12" ht="33" customHeight="1" x14ac:dyDescent="0.2">
      <c r="A30" s="109" t="s">
        <v>470</v>
      </c>
      <c r="B30" s="10" t="s">
        <v>54</v>
      </c>
      <c r="C30" s="11" t="s">
        <v>16</v>
      </c>
      <c r="D30" s="9" t="s">
        <v>55</v>
      </c>
      <c r="E30" s="15" t="s">
        <v>40</v>
      </c>
      <c r="F30" s="12">
        <v>3433.89</v>
      </c>
      <c r="G30" s="20">
        <v>26.96</v>
      </c>
      <c r="H30" s="21">
        <f t="shared" si="5"/>
        <v>33.020000000000003</v>
      </c>
      <c r="I30" s="13">
        <f t="shared" si="2"/>
        <v>113387.05</v>
      </c>
      <c r="J30" s="14">
        <f t="shared" si="0"/>
        <v>2.3626230731733516E-2</v>
      </c>
    </row>
    <row r="31" spans="1:12" ht="36" customHeight="1" x14ac:dyDescent="0.2">
      <c r="A31" s="109" t="s">
        <v>471</v>
      </c>
      <c r="B31" s="10" t="s">
        <v>56</v>
      </c>
      <c r="C31" s="11" t="s">
        <v>16</v>
      </c>
      <c r="D31" s="9" t="s">
        <v>57</v>
      </c>
      <c r="E31" s="11" t="s">
        <v>145</v>
      </c>
      <c r="F31" s="12">
        <v>7166.48</v>
      </c>
      <c r="G31" s="20">
        <v>2.02</v>
      </c>
      <c r="H31" s="21">
        <f t="shared" si="5"/>
        <v>2.4700000000000002</v>
      </c>
      <c r="I31" s="13">
        <f t="shared" si="2"/>
        <v>17701.21</v>
      </c>
      <c r="J31" s="14">
        <f t="shared" si="0"/>
        <v>3.6883653970261028E-3</v>
      </c>
    </row>
    <row r="32" spans="1:12" ht="51" customHeight="1" x14ac:dyDescent="0.2">
      <c r="A32" s="109" t="s">
        <v>472</v>
      </c>
      <c r="B32" s="10" t="s">
        <v>58</v>
      </c>
      <c r="C32" s="11" t="s">
        <v>16</v>
      </c>
      <c r="D32" s="9" t="s">
        <v>59</v>
      </c>
      <c r="E32" s="15" t="s">
        <v>40</v>
      </c>
      <c r="F32" s="12">
        <v>1433.3</v>
      </c>
      <c r="G32" s="20">
        <v>6.28</v>
      </c>
      <c r="H32" s="21">
        <f t="shared" si="5"/>
        <v>7.69</v>
      </c>
      <c r="I32" s="13">
        <f t="shared" si="2"/>
        <v>11022.08</v>
      </c>
      <c r="J32" s="14">
        <f t="shared" si="0"/>
        <v>2.2966485610448929E-3</v>
      </c>
    </row>
    <row r="33" spans="1:13" ht="24" customHeight="1" x14ac:dyDescent="0.2">
      <c r="A33" s="137" t="s">
        <v>60</v>
      </c>
      <c r="B33" s="212" t="s">
        <v>61</v>
      </c>
      <c r="C33" s="213"/>
      <c r="D33" s="213"/>
      <c r="E33" s="213"/>
      <c r="F33" s="213"/>
      <c r="G33" s="213"/>
      <c r="H33" s="214"/>
      <c r="I33" s="138">
        <f>SUM(I34:I65)</f>
        <v>1421257.7499999998</v>
      </c>
      <c r="J33" s="139">
        <f t="shared" si="0"/>
        <v>0.29614460849598279</v>
      </c>
    </row>
    <row r="34" spans="1:13" ht="34.5" customHeight="1" x14ac:dyDescent="0.2">
      <c r="A34" s="9" t="s">
        <v>475</v>
      </c>
      <c r="B34" s="10">
        <v>7781</v>
      </c>
      <c r="C34" s="11" t="s">
        <v>16</v>
      </c>
      <c r="D34" s="9" t="s">
        <v>62</v>
      </c>
      <c r="E34" s="11" t="s">
        <v>146</v>
      </c>
      <c r="F34" s="12">
        <v>470</v>
      </c>
      <c r="G34" s="20">
        <v>67.95</v>
      </c>
      <c r="H34" s="21">
        <f t="shared" ref="H34:H57" si="8">ROUND(G34+($G$3*G34),2)</f>
        <v>83.22</v>
      </c>
      <c r="I34" s="13">
        <f t="shared" si="2"/>
        <v>39113.4</v>
      </c>
      <c r="J34" s="14">
        <f t="shared" si="0"/>
        <v>8.1499802058752364E-3</v>
      </c>
      <c r="L34" s="8">
        <f>SUM(F34:F38)</f>
        <v>1876.65</v>
      </c>
      <c r="M34" s="2">
        <f>L34/2</f>
        <v>938.32500000000005</v>
      </c>
    </row>
    <row r="35" spans="1:13" ht="34.5" customHeight="1" x14ac:dyDescent="0.2">
      <c r="A35" s="9" t="s">
        <v>476</v>
      </c>
      <c r="B35" s="10">
        <v>7791</v>
      </c>
      <c r="C35" s="11" t="s">
        <v>16</v>
      </c>
      <c r="D35" s="9" t="s">
        <v>63</v>
      </c>
      <c r="E35" s="11" t="s">
        <v>146</v>
      </c>
      <c r="F35" s="12">
        <v>606.13</v>
      </c>
      <c r="G35" s="20">
        <v>121.06</v>
      </c>
      <c r="H35" s="21">
        <f t="shared" si="8"/>
        <v>148.26</v>
      </c>
      <c r="I35" s="13">
        <f t="shared" si="2"/>
        <v>89864.83</v>
      </c>
      <c r="J35" s="14">
        <f t="shared" si="0"/>
        <v>1.8724953230973094E-2</v>
      </c>
    </row>
    <row r="36" spans="1:13" s="83" customFormat="1" ht="34.5" customHeight="1" x14ac:dyDescent="0.2">
      <c r="A36" s="9" t="s">
        <v>477</v>
      </c>
      <c r="B36" s="10">
        <v>7750</v>
      </c>
      <c r="C36" s="11" t="s">
        <v>16</v>
      </c>
      <c r="D36" s="9" t="s">
        <v>473</v>
      </c>
      <c r="E36" s="11" t="s">
        <v>146</v>
      </c>
      <c r="F36" s="12">
        <v>483.41</v>
      </c>
      <c r="G36" s="20">
        <v>395.33</v>
      </c>
      <c r="H36" s="21">
        <f t="shared" ref="H36:H37" si="9">ROUND(G36+($G$3*G36),2)</f>
        <v>484.16</v>
      </c>
      <c r="I36" s="13">
        <f t="shared" ref="I36:I37" si="10">ROUND(F36*H36,2)</f>
        <v>234047.79</v>
      </c>
      <c r="J36" s="14">
        <f t="shared" ref="J36:J77" si="11">I36/$H$104</f>
        <v>4.8768065566502629E-2</v>
      </c>
    </row>
    <row r="37" spans="1:13" s="83" customFormat="1" ht="34.5" customHeight="1" x14ac:dyDescent="0.2">
      <c r="A37" s="9" t="s">
        <v>478</v>
      </c>
      <c r="B37" s="10">
        <v>7753</v>
      </c>
      <c r="C37" s="11" t="s">
        <v>16</v>
      </c>
      <c r="D37" s="9" t="s">
        <v>474</v>
      </c>
      <c r="E37" s="11" t="s">
        <v>146</v>
      </c>
      <c r="F37" s="12">
        <v>219</v>
      </c>
      <c r="G37" s="20">
        <v>463.22</v>
      </c>
      <c r="H37" s="21">
        <f t="shared" si="9"/>
        <v>567.30999999999995</v>
      </c>
      <c r="I37" s="13">
        <f t="shared" si="10"/>
        <v>124240.89</v>
      </c>
      <c r="J37" s="14">
        <f t="shared" si="11"/>
        <v>2.5887823463578274E-2</v>
      </c>
    </row>
    <row r="38" spans="1:13" s="135" customFormat="1" ht="34.5" customHeight="1" x14ac:dyDescent="0.2">
      <c r="A38" s="9" t="s">
        <v>479</v>
      </c>
      <c r="B38" s="10">
        <v>7757</v>
      </c>
      <c r="C38" s="11" t="s">
        <v>16</v>
      </c>
      <c r="D38" s="9" t="s">
        <v>808</v>
      </c>
      <c r="E38" s="11" t="s">
        <v>146</v>
      </c>
      <c r="F38" s="12">
        <v>98.11</v>
      </c>
      <c r="G38" s="20">
        <v>691.83</v>
      </c>
      <c r="H38" s="21">
        <f t="shared" ref="H38:H39" si="12">ROUND(G38+($G$3*G38),2)</f>
        <v>847.28</v>
      </c>
      <c r="I38" s="13">
        <f t="shared" ref="I38:I39" si="13">ROUND(F38*H38,2)</f>
        <v>83126.64</v>
      </c>
      <c r="J38" s="14">
        <f t="shared" ref="J38:J39" si="14">I38/$H$104</f>
        <v>1.7320930182007102E-2</v>
      </c>
    </row>
    <row r="39" spans="1:13" s="135" customFormat="1" ht="53.25" customHeight="1" x14ac:dyDescent="0.2">
      <c r="A39" s="9" t="s">
        <v>480</v>
      </c>
      <c r="B39" s="10">
        <v>92821</v>
      </c>
      <c r="C39" s="11" t="s">
        <v>16</v>
      </c>
      <c r="D39" s="9" t="s">
        <v>810</v>
      </c>
      <c r="E39" s="11" t="s">
        <v>146</v>
      </c>
      <c r="F39" s="12">
        <v>470</v>
      </c>
      <c r="G39" s="20">
        <v>59.2</v>
      </c>
      <c r="H39" s="21">
        <f t="shared" si="12"/>
        <v>72.5</v>
      </c>
      <c r="I39" s="13">
        <f t="shared" si="13"/>
        <v>34075</v>
      </c>
      <c r="J39" s="14">
        <f t="shared" si="14"/>
        <v>7.1001389681080822E-3</v>
      </c>
    </row>
    <row r="40" spans="1:13" s="135" customFormat="1" ht="53.25" customHeight="1" x14ac:dyDescent="0.2">
      <c r="A40" s="9" t="s">
        <v>481</v>
      </c>
      <c r="B40" s="10">
        <v>92824</v>
      </c>
      <c r="C40" s="11" t="s">
        <v>16</v>
      </c>
      <c r="D40" s="9" t="s">
        <v>64</v>
      </c>
      <c r="E40" s="11" t="s">
        <v>146</v>
      </c>
      <c r="F40" s="12">
        <v>606.13</v>
      </c>
      <c r="G40" s="20">
        <v>85.85</v>
      </c>
      <c r="H40" s="21">
        <f t="shared" ref="H40:H43" si="15">ROUND(G40+($G$3*G40),2)</f>
        <v>105.14</v>
      </c>
      <c r="I40" s="13">
        <f t="shared" ref="I40:I43" si="16">ROUND(F40*H40,2)</f>
        <v>63728.51</v>
      </c>
      <c r="J40" s="14">
        <f t="shared" ref="J40:J43" si="17">I40/$H$104</f>
        <v>1.3278980989888939E-2</v>
      </c>
    </row>
    <row r="41" spans="1:13" s="135" customFormat="1" ht="53.25" customHeight="1" x14ac:dyDescent="0.2">
      <c r="A41" s="9" t="s">
        <v>482</v>
      </c>
      <c r="B41" s="10">
        <v>92826</v>
      </c>
      <c r="C41" s="11" t="s">
        <v>16</v>
      </c>
      <c r="D41" s="9" t="s">
        <v>809</v>
      </c>
      <c r="E41" s="11" t="s">
        <v>146</v>
      </c>
      <c r="F41" s="12">
        <v>483.41</v>
      </c>
      <c r="G41" s="20">
        <v>114.75</v>
      </c>
      <c r="H41" s="21">
        <f t="shared" si="15"/>
        <v>140.53</v>
      </c>
      <c r="I41" s="13">
        <f t="shared" si="16"/>
        <v>67933.61</v>
      </c>
      <c r="J41" s="14">
        <f t="shared" si="17"/>
        <v>1.4155189188708932E-2</v>
      </c>
    </row>
    <row r="42" spans="1:13" s="135" customFormat="1" ht="53.25" customHeight="1" x14ac:dyDescent="0.2">
      <c r="A42" s="9" t="s">
        <v>483</v>
      </c>
      <c r="B42" s="10">
        <v>92828</v>
      </c>
      <c r="C42" s="11" t="s">
        <v>16</v>
      </c>
      <c r="D42" s="9" t="s">
        <v>811</v>
      </c>
      <c r="E42" s="11" t="s">
        <v>146</v>
      </c>
      <c r="F42" s="12">
        <v>219</v>
      </c>
      <c r="G42" s="20">
        <v>149.19</v>
      </c>
      <c r="H42" s="21">
        <f t="shared" si="15"/>
        <v>182.71</v>
      </c>
      <c r="I42" s="13">
        <f t="shared" si="16"/>
        <v>40013.49</v>
      </c>
      <c r="J42" s="14">
        <f t="shared" si="17"/>
        <v>8.3375301423038312E-3</v>
      </c>
    </row>
    <row r="43" spans="1:13" s="135" customFormat="1" ht="53.25" customHeight="1" x14ac:dyDescent="0.2">
      <c r="A43" s="9" t="s">
        <v>484</v>
      </c>
      <c r="B43" s="10">
        <v>92830</v>
      </c>
      <c r="C43" s="11" t="s">
        <v>16</v>
      </c>
      <c r="D43" s="9" t="s">
        <v>812</v>
      </c>
      <c r="E43" s="11" t="s">
        <v>146</v>
      </c>
      <c r="F43" s="12">
        <v>98.11</v>
      </c>
      <c r="G43" s="20">
        <v>185.08</v>
      </c>
      <c r="H43" s="21">
        <f t="shared" si="15"/>
        <v>226.67</v>
      </c>
      <c r="I43" s="13">
        <f t="shared" si="16"/>
        <v>22238.59</v>
      </c>
      <c r="J43" s="14">
        <f t="shared" si="17"/>
        <v>4.633810108724247E-3</v>
      </c>
    </row>
    <row r="44" spans="1:13" s="4" customFormat="1" ht="51.75" customHeight="1" x14ac:dyDescent="0.2">
      <c r="A44" s="9" t="s">
        <v>485</v>
      </c>
      <c r="B44" s="17" t="s">
        <v>155</v>
      </c>
      <c r="C44" s="17" t="s">
        <v>131</v>
      </c>
      <c r="D44" s="18" t="s">
        <v>156</v>
      </c>
      <c r="E44" s="11" t="s">
        <v>144</v>
      </c>
      <c r="F44" s="19">
        <v>19</v>
      </c>
      <c r="G44" s="20">
        <f>CPU´S!H66</f>
        <v>7782.37</v>
      </c>
      <c r="H44" s="21">
        <f t="shared" si="8"/>
        <v>9531.07</v>
      </c>
      <c r="I44" s="13">
        <f t="shared" ref="I44" si="18">ROUND(F44*H44,2)</f>
        <v>181090.33</v>
      </c>
      <c r="J44" s="14">
        <f t="shared" si="11"/>
        <v>3.7733426523273716E-2</v>
      </c>
    </row>
    <row r="45" spans="1:13" ht="38.25" customHeight="1" x14ac:dyDescent="0.2">
      <c r="A45" s="9" t="s">
        <v>765</v>
      </c>
      <c r="B45" s="10" t="s">
        <v>65</v>
      </c>
      <c r="C45" s="11" t="s">
        <v>16</v>
      </c>
      <c r="D45" s="9" t="s">
        <v>66</v>
      </c>
      <c r="E45" s="11" t="s">
        <v>146</v>
      </c>
      <c r="F45" s="12">
        <v>19</v>
      </c>
      <c r="G45" s="120">
        <v>815.9</v>
      </c>
      <c r="H45" s="21">
        <f t="shared" si="8"/>
        <v>999.23</v>
      </c>
      <c r="I45" s="13">
        <f t="shared" si="2"/>
        <v>18985.37</v>
      </c>
      <c r="J45" s="14">
        <f t="shared" si="11"/>
        <v>3.9559432240924468E-3</v>
      </c>
    </row>
    <row r="46" spans="1:13" ht="29.25" customHeight="1" x14ac:dyDescent="0.2">
      <c r="A46" s="9" t="s">
        <v>486</v>
      </c>
      <c r="B46" s="10" t="s">
        <v>67</v>
      </c>
      <c r="C46" s="11" t="s">
        <v>16</v>
      </c>
      <c r="D46" s="9" t="s">
        <v>68</v>
      </c>
      <c r="E46" s="11" t="s">
        <v>144</v>
      </c>
      <c r="F46" s="12">
        <v>19</v>
      </c>
      <c r="G46" s="20">
        <v>599.64</v>
      </c>
      <c r="H46" s="21">
        <f t="shared" si="8"/>
        <v>734.38</v>
      </c>
      <c r="I46" s="13">
        <f t="shared" si="2"/>
        <v>13953.22</v>
      </c>
      <c r="J46" s="14">
        <f t="shared" si="11"/>
        <v>2.9074042862093923E-3</v>
      </c>
    </row>
    <row r="47" spans="1:13" s="82" customFormat="1" ht="46.5" customHeight="1" x14ac:dyDescent="0.2">
      <c r="A47" s="9" t="s">
        <v>487</v>
      </c>
      <c r="B47" s="17" t="s">
        <v>159</v>
      </c>
      <c r="C47" s="17" t="s">
        <v>131</v>
      </c>
      <c r="D47" s="18" t="s">
        <v>160</v>
      </c>
      <c r="E47" s="11" t="s">
        <v>144</v>
      </c>
      <c r="F47" s="12">
        <v>34</v>
      </c>
      <c r="G47" s="13">
        <f>CPU´S!H112</f>
        <v>1476</v>
      </c>
      <c r="H47" s="21">
        <f t="shared" si="8"/>
        <v>1807.66</v>
      </c>
      <c r="I47" s="13">
        <f t="shared" ref="I47:I48" si="19">ROUND(F47*H47,2)</f>
        <v>61460.44</v>
      </c>
      <c r="J47" s="14">
        <f t="shared" si="11"/>
        <v>1.280638782218837E-2</v>
      </c>
      <c r="L47" s="8">
        <f>F47+F48</f>
        <v>51</v>
      </c>
    </row>
    <row r="48" spans="1:13" s="82" customFormat="1" ht="51" customHeight="1" x14ac:dyDescent="0.2">
      <c r="A48" s="9" t="s">
        <v>488</v>
      </c>
      <c r="B48" s="17" t="s">
        <v>494</v>
      </c>
      <c r="C48" s="17" t="s">
        <v>131</v>
      </c>
      <c r="D48" s="110" t="str">
        <f>CPU´S!D131</f>
        <v xml:space="preserve">BLTC - BOCA-DE-LOBO DUPLA EM CONCRETO SIMPLES FCK 20 MPA, INCLUINDO FORMA, ESCAVAÇÃO, SARJETA DE CONTORNO (CHAMA) EM CONCRETO E GRELHAS EM F°F° TIPO PESADA, CONFORME PROJETO </v>
      </c>
      <c r="E48" s="11" t="s">
        <v>144</v>
      </c>
      <c r="F48" s="12">
        <v>17</v>
      </c>
      <c r="G48" s="13">
        <f>CPU´S!H131</f>
        <v>2625.4900000000002</v>
      </c>
      <c r="H48" s="21">
        <f t="shared" si="8"/>
        <v>3215.44</v>
      </c>
      <c r="I48" s="13">
        <f t="shared" si="19"/>
        <v>54662.48</v>
      </c>
      <c r="J48" s="14">
        <f t="shared" si="11"/>
        <v>1.1389910618970761E-2</v>
      </c>
    </row>
    <row r="49" spans="1:10" s="117" customFormat="1" ht="42.75" customHeight="1" x14ac:dyDescent="0.2">
      <c r="A49" s="9" t="s">
        <v>489</v>
      </c>
      <c r="B49" s="17">
        <v>102740</v>
      </c>
      <c r="C49" s="17" t="s">
        <v>16</v>
      </c>
      <c r="D49" s="110" t="s">
        <v>764</v>
      </c>
      <c r="E49" s="11" t="s">
        <v>144</v>
      </c>
      <c r="F49" s="12">
        <v>1</v>
      </c>
      <c r="G49" s="120">
        <v>5511.23</v>
      </c>
      <c r="H49" s="21">
        <f t="shared" ref="H49" si="20">ROUND(G49+($G$3*G49),2)</f>
        <v>6749.6</v>
      </c>
      <c r="I49" s="13">
        <f t="shared" ref="I49" si="21">ROUND(F49*H49,2)</f>
        <v>6749.6</v>
      </c>
      <c r="J49" s="14">
        <f t="shared" si="11"/>
        <v>1.406400527634404E-3</v>
      </c>
    </row>
    <row r="50" spans="1:10" s="118" customFormat="1" ht="29.25" customHeight="1" x14ac:dyDescent="0.2">
      <c r="A50" s="9" t="s">
        <v>490</v>
      </c>
      <c r="B50" s="17" t="s">
        <v>767</v>
      </c>
      <c r="C50" s="17" t="s">
        <v>131</v>
      </c>
      <c r="D50" s="110" t="str">
        <f>CPU´S!D258</f>
        <v>EXECUÇÃO DE DISSIPADOR DE ENERGIA DE ÁGUAS PLUVIAIS - TIPO 03</v>
      </c>
      <c r="E50" s="11" t="s">
        <v>144</v>
      </c>
      <c r="F50" s="12">
        <v>1</v>
      </c>
      <c r="G50" s="13">
        <f>CPU´S!H258</f>
        <v>27511.699999999997</v>
      </c>
      <c r="H50" s="21">
        <f t="shared" ref="H50" si="22">ROUND(G50+($G$3*G50),2)</f>
        <v>33693.58</v>
      </c>
      <c r="I50" s="13">
        <f t="shared" ref="I50" si="23">ROUND(F50*H50,2)</f>
        <v>33693.58</v>
      </c>
      <c r="J50" s="14">
        <f t="shared" si="11"/>
        <v>7.0206632526211921E-3</v>
      </c>
    </row>
    <row r="51" spans="1:10" s="129" customFormat="1" ht="36" customHeight="1" x14ac:dyDescent="0.2">
      <c r="A51" s="9" t="s">
        <v>491</v>
      </c>
      <c r="B51" s="121" t="str">
        <f>CPU´S!C265</f>
        <v>BC-01</v>
      </c>
      <c r="C51" s="17" t="s">
        <v>131</v>
      </c>
      <c r="D51" s="110" t="str">
        <f>CPU´S!D265</f>
        <v>EXECUÇÃO BACIA DE CONTENÇÃO E CANAL CONDUTOR REVESTDO DE CONCRETO</v>
      </c>
      <c r="E51" s="11" t="s">
        <v>800</v>
      </c>
      <c r="F51" s="12">
        <v>1</v>
      </c>
      <c r="G51" s="13">
        <f>CPU´S!H265</f>
        <v>5991.4500000000007</v>
      </c>
      <c r="H51" s="21">
        <f t="shared" ref="H51" si="24">ROUND(G51+($G$3*G51),2)</f>
        <v>7337.73</v>
      </c>
      <c r="I51" s="13">
        <f t="shared" ref="I51" si="25">ROUND(F51*H51,2)</f>
        <v>7337.73</v>
      </c>
      <c r="J51" s="14">
        <f t="shared" ref="J51" si="26">I51/$H$104</f>
        <v>1.5289479885680327E-3</v>
      </c>
    </row>
    <row r="52" spans="1:10" ht="42" customHeight="1" x14ac:dyDescent="0.2">
      <c r="A52" s="9" t="s">
        <v>492</v>
      </c>
      <c r="B52" s="10" t="s">
        <v>69</v>
      </c>
      <c r="C52" s="11" t="s">
        <v>16</v>
      </c>
      <c r="D52" s="9" t="s">
        <v>70</v>
      </c>
      <c r="E52" s="11" t="s">
        <v>147</v>
      </c>
      <c r="F52" s="12">
        <v>31573.81</v>
      </c>
      <c r="G52" s="20">
        <v>2.69</v>
      </c>
      <c r="H52" s="21">
        <f t="shared" si="8"/>
        <v>3.29</v>
      </c>
      <c r="I52" s="13">
        <f t="shared" si="2"/>
        <v>103877.83</v>
      </c>
      <c r="J52" s="14">
        <f t="shared" si="11"/>
        <v>2.1644813755113918E-2</v>
      </c>
    </row>
    <row r="53" spans="1:10" ht="51" customHeight="1" x14ac:dyDescent="0.2">
      <c r="A53" s="9" t="s">
        <v>493</v>
      </c>
      <c r="B53" s="10" t="s">
        <v>71</v>
      </c>
      <c r="C53" s="11" t="s">
        <v>16</v>
      </c>
      <c r="D53" s="9" t="s">
        <v>72</v>
      </c>
      <c r="E53" s="11" t="s">
        <v>147</v>
      </c>
      <c r="F53" s="12">
        <v>52623.02</v>
      </c>
      <c r="G53" s="20">
        <v>1.07</v>
      </c>
      <c r="H53" s="21">
        <f t="shared" si="8"/>
        <v>1.31</v>
      </c>
      <c r="I53" s="13">
        <f t="shared" si="2"/>
        <v>68936.160000000003</v>
      </c>
      <c r="J53" s="14">
        <f t="shared" si="11"/>
        <v>1.4364088508517496E-2</v>
      </c>
    </row>
    <row r="54" spans="1:10" ht="40.5" customHeight="1" x14ac:dyDescent="0.2">
      <c r="A54" s="9" t="s">
        <v>502</v>
      </c>
      <c r="B54" s="10" t="s">
        <v>56</v>
      </c>
      <c r="C54" s="11" t="s">
        <v>16</v>
      </c>
      <c r="D54" s="9" t="s">
        <v>496</v>
      </c>
      <c r="E54" s="11" t="s">
        <v>145</v>
      </c>
      <c r="F54" s="12">
        <f>2.55*30*F44</f>
        <v>1453.5</v>
      </c>
      <c r="G54" s="20">
        <v>2.02</v>
      </c>
      <c r="H54" s="21">
        <f t="shared" si="8"/>
        <v>2.4700000000000002</v>
      </c>
      <c r="I54" s="13">
        <f t="shared" si="2"/>
        <v>3590.15</v>
      </c>
      <c r="J54" s="14">
        <f t="shared" si="11"/>
        <v>7.4807230862371915E-4</v>
      </c>
    </row>
    <row r="55" spans="1:10" ht="42.75" customHeight="1" x14ac:dyDescent="0.2">
      <c r="A55" s="9" t="s">
        <v>503</v>
      </c>
      <c r="B55" s="10" t="s">
        <v>56</v>
      </c>
      <c r="C55" s="11" t="s">
        <v>16</v>
      </c>
      <c r="D55" s="9" t="s">
        <v>497</v>
      </c>
      <c r="E55" s="11" t="s">
        <v>145</v>
      </c>
      <c r="F55" s="12">
        <f>1.69*30*(F47+(F48*2))</f>
        <v>3447.6</v>
      </c>
      <c r="G55" s="20">
        <v>2.02</v>
      </c>
      <c r="H55" s="21">
        <f t="shared" si="8"/>
        <v>2.4700000000000002</v>
      </c>
      <c r="I55" s="13">
        <f t="shared" si="2"/>
        <v>8515.57</v>
      </c>
      <c r="J55" s="14">
        <f t="shared" si="11"/>
        <v>1.7743721318459907E-3</v>
      </c>
    </row>
    <row r="56" spans="1:10" ht="35.25" customHeight="1" x14ac:dyDescent="0.2">
      <c r="A56" s="9" t="s">
        <v>766</v>
      </c>
      <c r="B56" s="10" t="s">
        <v>73</v>
      </c>
      <c r="C56" s="11" t="s">
        <v>16</v>
      </c>
      <c r="D56" s="9" t="s">
        <v>74</v>
      </c>
      <c r="E56" s="15" t="s">
        <v>75</v>
      </c>
      <c r="F56" s="12">
        <v>97.82</v>
      </c>
      <c r="G56" s="20">
        <v>37.96</v>
      </c>
      <c r="H56" s="21">
        <f t="shared" si="8"/>
        <v>46.49</v>
      </c>
      <c r="I56" s="13">
        <f t="shared" si="2"/>
        <v>4547.6499999999996</v>
      </c>
      <c r="J56" s="14">
        <f t="shared" si="11"/>
        <v>9.4758465086769526E-4</v>
      </c>
    </row>
    <row r="57" spans="1:10" ht="35.25" customHeight="1" x14ac:dyDescent="0.2">
      <c r="A57" s="9" t="s">
        <v>784</v>
      </c>
      <c r="B57" s="10" t="s">
        <v>76</v>
      </c>
      <c r="C57" s="11" t="s">
        <v>16</v>
      </c>
      <c r="D57" s="9" t="s">
        <v>77</v>
      </c>
      <c r="E57" s="15" t="s">
        <v>75</v>
      </c>
      <c r="F57" s="12">
        <v>248.6</v>
      </c>
      <c r="G57" s="20">
        <v>41.58</v>
      </c>
      <c r="H57" s="21">
        <f t="shared" si="8"/>
        <v>50.92</v>
      </c>
      <c r="I57" s="13">
        <f t="shared" si="2"/>
        <v>12658.71</v>
      </c>
      <c r="J57" s="14">
        <f t="shared" si="11"/>
        <v>2.6376698505349802E-3</v>
      </c>
    </row>
    <row r="58" spans="1:10" s="108" customFormat="1" ht="35.25" customHeight="1" x14ac:dyDescent="0.2">
      <c r="A58" s="9" t="s">
        <v>785</v>
      </c>
      <c r="B58" s="10">
        <v>101465</v>
      </c>
      <c r="C58" s="11" t="s">
        <v>16</v>
      </c>
      <c r="D58" s="9" t="s">
        <v>498</v>
      </c>
      <c r="E58" s="15" t="s">
        <v>75</v>
      </c>
      <c r="F58" s="12">
        <v>341.66</v>
      </c>
      <c r="G58" s="20">
        <v>24.4</v>
      </c>
      <c r="H58" s="21">
        <f t="shared" ref="H58:H60" si="27">ROUND(G58+($G$3*G58),2)</f>
        <v>29.88</v>
      </c>
      <c r="I58" s="13">
        <f t="shared" ref="I58:I60" si="28">ROUND(F58*H58,2)</f>
        <v>10208.799999999999</v>
      </c>
      <c r="J58" s="14">
        <f t="shared" si="11"/>
        <v>2.1271870490864792E-3</v>
      </c>
    </row>
    <row r="59" spans="1:10" s="108" customFormat="1" ht="35.25" customHeight="1" x14ac:dyDescent="0.2">
      <c r="A59" s="9" t="s">
        <v>786</v>
      </c>
      <c r="B59" s="10">
        <v>101467</v>
      </c>
      <c r="C59" s="11" t="s">
        <v>16</v>
      </c>
      <c r="D59" s="9" t="s">
        <v>499</v>
      </c>
      <c r="E59" s="15" t="s">
        <v>75</v>
      </c>
      <c r="F59" s="12">
        <v>231.14</v>
      </c>
      <c r="G59" s="20">
        <v>16.62</v>
      </c>
      <c r="H59" s="21">
        <f t="shared" si="27"/>
        <v>20.350000000000001</v>
      </c>
      <c r="I59" s="13">
        <f t="shared" si="28"/>
        <v>4703.7</v>
      </c>
      <c r="J59" s="14">
        <f t="shared" si="11"/>
        <v>9.801004743738807E-4</v>
      </c>
    </row>
    <row r="60" spans="1:10" s="135" customFormat="1" ht="35.25" customHeight="1" x14ac:dyDescent="0.2">
      <c r="A60" s="9" t="s">
        <v>787</v>
      </c>
      <c r="B60" s="10">
        <v>101468</v>
      </c>
      <c r="C60" s="11" t="s">
        <v>16</v>
      </c>
      <c r="D60" s="9" t="s">
        <v>813</v>
      </c>
      <c r="E60" s="15" t="s">
        <v>75</v>
      </c>
      <c r="F60" s="12">
        <v>133.24</v>
      </c>
      <c r="G60" s="20">
        <v>15.2</v>
      </c>
      <c r="H60" s="21">
        <f t="shared" si="27"/>
        <v>18.62</v>
      </c>
      <c r="I60" s="13">
        <f t="shared" si="28"/>
        <v>2480.9299999999998</v>
      </c>
      <c r="J60" s="14">
        <f t="shared" si="11"/>
        <v>5.1694637623326135E-4</v>
      </c>
    </row>
    <row r="61" spans="1:10" s="125" customFormat="1" ht="33" customHeight="1" x14ac:dyDescent="0.2">
      <c r="A61" s="9" t="s">
        <v>788</v>
      </c>
      <c r="B61" s="17" t="s">
        <v>161</v>
      </c>
      <c r="C61" s="17" t="s">
        <v>131</v>
      </c>
      <c r="D61" s="18" t="s">
        <v>162</v>
      </c>
      <c r="E61" s="11" t="s">
        <v>146</v>
      </c>
      <c r="F61" s="12">
        <f>(88.64*2)+(20*2)+14+24</f>
        <v>255.28</v>
      </c>
      <c r="G61" s="20">
        <f>CPU´S!H126</f>
        <v>3.19</v>
      </c>
      <c r="H61" s="21">
        <f t="shared" ref="H61:H65" si="29">ROUND(G61+($G$3*G61),2)</f>
        <v>3.91</v>
      </c>
      <c r="I61" s="13">
        <f t="shared" ref="I61:I65" si="30">ROUND(F61*H61,2)</f>
        <v>998.14</v>
      </c>
      <c r="J61" s="14">
        <f t="shared" ref="J61:J65" si="31">I61/$H$104</f>
        <v>2.0798041701034192E-4</v>
      </c>
    </row>
    <row r="62" spans="1:10" s="125" customFormat="1" ht="33" customHeight="1" x14ac:dyDescent="0.2">
      <c r="A62" s="9" t="s">
        <v>796</v>
      </c>
      <c r="B62" s="17" t="s">
        <v>163</v>
      </c>
      <c r="C62" s="17" t="s">
        <v>131</v>
      </c>
      <c r="D62" s="18" t="s">
        <v>164</v>
      </c>
      <c r="E62" s="11" t="s">
        <v>40</v>
      </c>
      <c r="F62" s="12">
        <f>(88.64*1.5*0.1)+(25*2*0.1)+(38*1.2*0.1)</f>
        <v>22.856000000000002</v>
      </c>
      <c r="G62" s="20">
        <f>CPU´S!H62</f>
        <v>228.67000000000002</v>
      </c>
      <c r="H62" s="21">
        <f t="shared" si="29"/>
        <v>280.05</v>
      </c>
      <c r="I62" s="13">
        <f t="shared" si="30"/>
        <v>6400.82</v>
      </c>
      <c r="J62" s="14">
        <f t="shared" si="31"/>
        <v>1.3337259430622325E-3</v>
      </c>
    </row>
    <row r="63" spans="1:10" s="125" customFormat="1" ht="33" customHeight="1" x14ac:dyDescent="0.2">
      <c r="A63" s="9" t="s">
        <v>797</v>
      </c>
      <c r="B63" s="17" t="s">
        <v>165</v>
      </c>
      <c r="C63" s="17" t="s">
        <v>131</v>
      </c>
      <c r="D63" s="18" t="s">
        <v>166</v>
      </c>
      <c r="E63" s="11" t="s">
        <v>40</v>
      </c>
      <c r="F63" s="12">
        <f>F62</f>
        <v>22.856000000000002</v>
      </c>
      <c r="G63" s="20">
        <f>CPU´S!H230</f>
        <v>22.48</v>
      </c>
      <c r="H63" s="21">
        <f t="shared" si="29"/>
        <v>27.53</v>
      </c>
      <c r="I63" s="13">
        <f t="shared" si="30"/>
        <v>629.23</v>
      </c>
      <c r="J63" s="14">
        <f t="shared" si="31"/>
        <v>1.3111138497146437E-4</v>
      </c>
    </row>
    <row r="64" spans="1:10" s="125" customFormat="1" ht="33" customHeight="1" x14ac:dyDescent="0.2">
      <c r="A64" s="9" t="s">
        <v>798</v>
      </c>
      <c r="B64" s="10" t="s">
        <v>56</v>
      </c>
      <c r="C64" s="11" t="s">
        <v>16</v>
      </c>
      <c r="D64" s="9" t="s">
        <v>57</v>
      </c>
      <c r="E64" s="11" t="s">
        <v>145</v>
      </c>
      <c r="F64" s="12">
        <f>F63*5</f>
        <v>114.28</v>
      </c>
      <c r="G64" s="20">
        <v>2.02</v>
      </c>
      <c r="H64" s="21">
        <f t="shared" ref="H64" si="32">ROUND(G64+($G$3*G64),2)</f>
        <v>2.4700000000000002</v>
      </c>
      <c r="I64" s="13">
        <f t="shared" ref="I64" si="33">ROUND(F64*H64,2)</f>
        <v>282.27</v>
      </c>
      <c r="J64" s="14">
        <f t="shared" ref="J64" si="34">I64/$H$104</f>
        <v>5.881603012554272E-5</v>
      </c>
    </row>
    <row r="65" spans="1:10" s="125" customFormat="1" ht="33" customHeight="1" x14ac:dyDescent="0.2">
      <c r="A65" s="9" t="s">
        <v>799</v>
      </c>
      <c r="B65" s="17" t="s">
        <v>167</v>
      </c>
      <c r="C65" s="17" t="s">
        <v>131</v>
      </c>
      <c r="D65" s="18" t="s">
        <v>168</v>
      </c>
      <c r="E65" s="11" t="s">
        <v>47</v>
      </c>
      <c r="F65" s="12">
        <f>F62/0.1</f>
        <v>228.56</v>
      </c>
      <c r="G65" s="20">
        <f>CPU´S!H239</f>
        <v>61.129999999999995</v>
      </c>
      <c r="H65" s="21">
        <f t="shared" si="29"/>
        <v>74.87</v>
      </c>
      <c r="I65" s="13">
        <f t="shared" si="30"/>
        <v>17112.29</v>
      </c>
      <c r="J65" s="14">
        <f t="shared" si="31"/>
        <v>3.5656533253871242E-3</v>
      </c>
    </row>
    <row r="66" spans="1:10" ht="24" customHeight="1" x14ac:dyDescent="0.2">
      <c r="A66" s="137" t="s">
        <v>804</v>
      </c>
      <c r="B66" s="212" t="s">
        <v>78</v>
      </c>
      <c r="C66" s="213"/>
      <c r="D66" s="213"/>
      <c r="E66" s="213"/>
      <c r="F66" s="213"/>
      <c r="G66" s="213"/>
      <c r="H66" s="214"/>
      <c r="I66" s="138">
        <f>SUM(I67:I69)</f>
        <v>115275.76</v>
      </c>
      <c r="J66" s="139">
        <f t="shared" si="11"/>
        <v>2.4019777421988991E-2</v>
      </c>
    </row>
    <row r="67" spans="1:10" s="4" customFormat="1" ht="24" customHeight="1" x14ac:dyDescent="0.2">
      <c r="A67" s="9" t="s">
        <v>805</v>
      </c>
      <c r="B67" s="17" t="s">
        <v>169</v>
      </c>
      <c r="C67" s="17" t="s">
        <v>131</v>
      </c>
      <c r="D67" s="16" t="s">
        <v>170</v>
      </c>
      <c r="E67" s="11" t="s">
        <v>40</v>
      </c>
      <c r="F67" s="28">
        <v>4974.0600000000004</v>
      </c>
      <c r="G67" s="13">
        <f>CPU´S!H149</f>
        <v>5.6</v>
      </c>
      <c r="H67" s="21">
        <f>ROUND(G67+($G$3*G67),2)</f>
        <v>6.86</v>
      </c>
      <c r="I67" s="20">
        <f t="shared" ref="I67" si="35">ROUND(F67*H67,2)</f>
        <v>34122.050000000003</v>
      </c>
      <c r="J67" s="22">
        <f t="shared" si="11"/>
        <v>7.1099426816355797E-3</v>
      </c>
    </row>
    <row r="68" spans="1:10" ht="32.25" customHeight="1" x14ac:dyDescent="0.2">
      <c r="A68" s="9" t="s">
        <v>806</v>
      </c>
      <c r="B68" s="10" t="s">
        <v>56</v>
      </c>
      <c r="C68" s="11" t="s">
        <v>16</v>
      </c>
      <c r="D68" s="9" t="s">
        <v>57</v>
      </c>
      <c r="E68" s="11" t="s">
        <v>145</v>
      </c>
      <c r="F68" s="12">
        <v>32331.35</v>
      </c>
      <c r="G68" s="20">
        <v>2.02</v>
      </c>
      <c r="H68" s="21">
        <f>ROUND(G68+($G$3*G68),2)</f>
        <v>2.4700000000000002</v>
      </c>
      <c r="I68" s="13">
        <f t="shared" si="2"/>
        <v>79858.429999999993</v>
      </c>
      <c r="J68" s="14">
        <f t="shared" si="11"/>
        <v>1.6639939861333278E-2</v>
      </c>
    </row>
    <row r="69" spans="1:10" s="118" customFormat="1" ht="35.25" customHeight="1" x14ac:dyDescent="0.2">
      <c r="A69" s="9" t="s">
        <v>807</v>
      </c>
      <c r="B69" s="10">
        <v>101127</v>
      </c>
      <c r="C69" s="11" t="s">
        <v>16</v>
      </c>
      <c r="D69" s="9" t="s">
        <v>774</v>
      </c>
      <c r="E69" s="11" t="s">
        <v>40</v>
      </c>
      <c r="F69" s="12">
        <v>82.24</v>
      </c>
      <c r="G69" s="20">
        <v>12.86</v>
      </c>
      <c r="H69" s="21">
        <f t="shared" ref="H69" si="36">ROUND(G69+($G$3*G69),2)</f>
        <v>15.75</v>
      </c>
      <c r="I69" s="13">
        <f t="shared" ref="I69" si="37">ROUND(F69*H69,2)</f>
        <v>1295.28</v>
      </c>
      <c r="J69" s="14">
        <f t="shared" si="11"/>
        <v>2.6989487902013312E-4</v>
      </c>
    </row>
    <row r="70" spans="1:10" ht="24" customHeight="1" x14ac:dyDescent="0.2">
      <c r="A70" s="137" t="s">
        <v>81</v>
      </c>
      <c r="B70" s="212" t="s">
        <v>500</v>
      </c>
      <c r="C70" s="213"/>
      <c r="D70" s="213"/>
      <c r="E70" s="213"/>
      <c r="F70" s="213"/>
      <c r="G70" s="213"/>
      <c r="H70" s="214"/>
      <c r="I70" s="138">
        <f>SUM(I71:I77)</f>
        <v>807704.05999999994</v>
      </c>
      <c r="J70" s="139">
        <f t="shared" si="11"/>
        <v>0.16829966459589457</v>
      </c>
    </row>
    <row r="71" spans="1:10" ht="30" customHeight="1" x14ac:dyDescent="0.2">
      <c r="A71" s="9" t="s">
        <v>504</v>
      </c>
      <c r="B71" s="10" t="s">
        <v>82</v>
      </c>
      <c r="C71" s="11" t="s">
        <v>16</v>
      </c>
      <c r="D71" s="9" t="s">
        <v>83</v>
      </c>
      <c r="E71" s="15" t="s">
        <v>47</v>
      </c>
      <c r="F71" s="12">
        <v>18206.37</v>
      </c>
      <c r="G71" s="20">
        <v>2.2400000000000002</v>
      </c>
      <c r="H71" s="21">
        <f t="shared" ref="H71:H77" si="38">ROUND(G71+($G$3*G71),2)</f>
        <v>2.74</v>
      </c>
      <c r="I71" s="13">
        <f t="shared" si="2"/>
        <v>49885.45</v>
      </c>
      <c r="J71" s="14">
        <f t="shared" si="11"/>
        <v>1.0394530520516723E-2</v>
      </c>
    </row>
    <row r="72" spans="1:10" ht="33.75" customHeight="1" x14ac:dyDescent="0.2">
      <c r="A72" s="9" t="s">
        <v>505</v>
      </c>
      <c r="B72" s="24" t="s">
        <v>84</v>
      </c>
      <c r="C72" s="25" t="s">
        <v>16</v>
      </c>
      <c r="D72" s="9" t="s">
        <v>501</v>
      </c>
      <c r="E72" s="29" t="s">
        <v>40</v>
      </c>
      <c r="F72" s="26">
        <v>3479.32</v>
      </c>
      <c r="G72" s="20">
        <v>62.01</v>
      </c>
      <c r="H72" s="21">
        <f t="shared" si="38"/>
        <v>75.94</v>
      </c>
      <c r="I72" s="13">
        <f t="shared" si="2"/>
        <v>264219.56</v>
      </c>
      <c r="J72" s="14">
        <f t="shared" si="11"/>
        <v>5.5054896378352793E-2</v>
      </c>
    </row>
    <row r="73" spans="1:10" ht="36" customHeight="1" x14ac:dyDescent="0.2">
      <c r="A73" s="9" t="s">
        <v>506</v>
      </c>
      <c r="B73" s="10" t="s">
        <v>56</v>
      </c>
      <c r="C73" s="11" t="s">
        <v>16</v>
      </c>
      <c r="D73" s="9" t="s">
        <v>57</v>
      </c>
      <c r="E73" s="11" t="s">
        <v>145</v>
      </c>
      <c r="F73" s="12">
        <v>104379.6</v>
      </c>
      <c r="G73" s="20">
        <v>2.02</v>
      </c>
      <c r="H73" s="21">
        <f t="shared" si="38"/>
        <v>2.4700000000000002</v>
      </c>
      <c r="I73" s="13">
        <f t="shared" si="2"/>
        <v>257817.61</v>
      </c>
      <c r="J73" s="14">
        <f t="shared" si="11"/>
        <v>5.3720934979471516E-2</v>
      </c>
    </row>
    <row r="74" spans="1:10" ht="57" customHeight="1" x14ac:dyDescent="0.2">
      <c r="A74" s="9" t="s">
        <v>507</v>
      </c>
      <c r="B74" s="17" t="s">
        <v>171</v>
      </c>
      <c r="C74" s="17" t="s">
        <v>131</v>
      </c>
      <c r="D74" s="18" t="s">
        <v>172</v>
      </c>
      <c r="E74" s="11" t="s">
        <v>40</v>
      </c>
      <c r="F74" s="30">
        <v>2676.4</v>
      </c>
      <c r="G74" s="13">
        <f>CPU´S!H156</f>
        <v>18.049999999999997</v>
      </c>
      <c r="H74" s="21">
        <f t="shared" si="38"/>
        <v>22.11</v>
      </c>
      <c r="I74" s="13">
        <f t="shared" ref="I74:I76" si="39">ROUND(F74*H74,2)</f>
        <v>59175.199999999997</v>
      </c>
      <c r="J74" s="14">
        <f t="shared" si="11"/>
        <v>1.2330216976246202E-2</v>
      </c>
    </row>
    <row r="75" spans="1:10" s="175" customFormat="1" ht="30.75" customHeight="1" x14ac:dyDescent="0.2">
      <c r="A75" s="9" t="s">
        <v>508</v>
      </c>
      <c r="B75" s="178" t="str">
        <f>CPU´S!C248</f>
        <v>IMP-001</v>
      </c>
      <c r="C75" s="179" t="s">
        <v>131</v>
      </c>
      <c r="D75" s="180" t="str">
        <f>CPU´S!D248</f>
        <v>EXECUÇÃO DE IMPRIMAÇÃO LIGANTE (PINTURA DE LIGAÇÃO) COM EMULSÃO ASFÁLTICA CM-IMPRIMA</v>
      </c>
      <c r="E75" s="11" t="s">
        <v>47</v>
      </c>
      <c r="F75" s="181">
        <f>15950.87+4586.92</f>
        <v>20537.79</v>
      </c>
      <c r="G75" s="13">
        <f>CPU´S!H248</f>
        <v>6.88</v>
      </c>
      <c r="H75" s="21">
        <f t="shared" si="38"/>
        <v>8.43</v>
      </c>
      <c r="I75" s="13">
        <f t="shared" si="39"/>
        <v>173133.57</v>
      </c>
      <c r="J75" s="14">
        <f t="shared" si="11"/>
        <v>3.6075492503145075E-2</v>
      </c>
    </row>
    <row r="76" spans="1:10" s="111" customFormat="1" ht="45.75" customHeight="1" x14ac:dyDescent="0.2">
      <c r="A76" s="9" t="s">
        <v>509</v>
      </c>
      <c r="B76" s="10" t="s">
        <v>85</v>
      </c>
      <c r="C76" s="11" t="s">
        <v>16</v>
      </c>
      <c r="D76" s="9" t="s">
        <v>86</v>
      </c>
      <c r="E76" s="11" t="s">
        <v>147</v>
      </c>
      <c r="F76" s="12">
        <f>717.9+206.5</f>
        <v>924.4</v>
      </c>
      <c r="G76" s="20">
        <v>1.83</v>
      </c>
      <c r="H76" s="21">
        <f t="shared" ref="H76" si="40">ROUND(G76+($G$3*G76),2)</f>
        <v>2.2400000000000002</v>
      </c>
      <c r="I76" s="13">
        <f t="shared" si="39"/>
        <v>2070.66</v>
      </c>
      <c r="J76" s="14">
        <f t="shared" si="11"/>
        <v>4.3145924448136991E-4</v>
      </c>
    </row>
    <row r="77" spans="1:10" ht="43.5" customHeight="1" x14ac:dyDescent="0.2">
      <c r="A77" s="9" t="s">
        <v>510</v>
      </c>
      <c r="B77" s="10" t="s">
        <v>94</v>
      </c>
      <c r="C77" s="11" t="s">
        <v>16</v>
      </c>
      <c r="D77" s="9" t="s">
        <v>95</v>
      </c>
      <c r="E77" s="11" t="s">
        <v>147</v>
      </c>
      <c r="F77" s="12">
        <f>1196.5+344.17</f>
        <v>1540.67</v>
      </c>
      <c r="G77" s="20">
        <v>0.74</v>
      </c>
      <c r="H77" s="21">
        <f t="shared" si="38"/>
        <v>0.91</v>
      </c>
      <c r="I77" s="13">
        <f t="shared" si="2"/>
        <v>1402.01</v>
      </c>
      <c r="J77" s="14">
        <f t="shared" si="11"/>
        <v>2.9213399368091596E-4</v>
      </c>
    </row>
    <row r="78" spans="1:10" ht="24" customHeight="1" x14ac:dyDescent="0.2">
      <c r="A78" s="137" t="s">
        <v>87</v>
      </c>
      <c r="B78" s="212" t="s">
        <v>88</v>
      </c>
      <c r="C78" s="213"/>
      <c r="D78" s="213"/>
      <c r="E78" s="213"/>
      <c r="F78" s="213"/>
      <c r="G78" s="213"/>
      <c r="H78" s="214"/>
      <c r="I78" s="138">
        <f>SUM(I79:I82)</f>
        <v>720700.81000000017</v>
      </c>
      <c r="J78" s="139">
        <f t="shared" ref="J78:J90" si="41">I78/$H$104</f>
        <v>0.15017097301329596</v>
      </c>
    </row>
    <row r="79" spans="1:10" ht="36" customHeight="1" x14ac:dyDescent="0.2">
      <c r="A79" s="9" t="s">
        <v>89</v>
      </c>
      <c r="B79" s="10" t="s">
        <v>90</v>
      </c>
      <c r="C79" s="11" t="s">
        <v>16</v>
      </c>
      <c r="D79" s="9" t="s">
        <v>91</v>
      </c>
      <c r="E79" s="15" t="s">
        <v>47</v>
      </c>
      <c r="F79" s="12">
        <f>F75</f>
        <v>20537.79</v>
      </c>
      <c r="G79" s="20">
        <v>26.91</v>
      </c>
      <c r="H79" s="21">
        <f>ROUND(G79+($G$3*G79),2)</f>
        <v>32.96</v>
      </c>
      <c r="I79" s="13">
        <f t="shared" si="2"/>
        <v>676925.56</v>
      </c>
      <c r="J79" s="14">
        <f t="shared" si="41"/>
        <v>0.14104961253307075</v>
      </c>
    </row>
    <row r="80" spans="1:10" ht="44.25" customHeight="1" x14ac:dyDescent="0.2">
      <c r="A80" s="9" t="s">
        <v>92</v>
      </c>
      <c r="B80" s="10" t="s">
        <v>85</v>
      </c>
      <c r="C80" s="11" t="s">
        <v>16</v>
      </c>
      <c r="D80" s="9" t="s">
        <v>86</v>
      </c>
      <c r="E80" s="11" t="s">
        <v>147</v>
      </c>
      <c r="F80" s="12">
        <f>F76*2</f>
        <v>1848.8</v>
      </c>
      <c r="G80" s="20">
        <v>1.83</v>
      </c>
      <c r="H80" s="21">
        <f>ROUND(G80+($G$3*G80),2)</f>
        <v>2.2400000000000002</v>
      </c>
      <c r="I80" s="13">
        <f t="shared" si="2"/>
        <v>4141.3100000000004</v>
      </c>
      <c r="J80" s="14">
        <f t="shared" si="41"/>
        <v>8.6291640528292541E-4</v>
      </c>
    </row>
    <row r="81" spans="1:12" ht="48" customHeight="1" x14ac:dyDescent="0.2">
      <c r="A81" s="9" t="s">
        <v>93</v>
      </c>
      <c r="B81" s="10" t="s">
        <v>94</v>
      </c>
      <c r="C81" s="11" t="s">
        <v>16</v>
      </c>
      <c r="D81" s="9" t="s">
        <v>95</v>
      </c>
      <c r="E81" s="11" t="s">
        <v>147</v>
      </c>
      <c r="F81" s="12">
        <f>F77*2</f>
        <v>3081.34</v>
      </c>
      <c r="G81" s="20">
        <v>0.74</v>
      </c>
      <c r="H81" s="21">
        <f>ROUND(G81+($G$3*G81),2)</f>
        <v>0.91</v>
      </c>
      <c r="I81" s="13">
        <f t="shared" si="2"/>
        <v>2804.02</v>
      </c>
      <c r="J81" s="14">
        <f t="shared" si="41"/>
        <v>5.8426798736183191E-4</v>
      </c>
    </row>
    <row r="82" spans="1:12" ht="36" customHeight="1" x14ac:dyDescent="0.2">
      <c r="A82" s="9" t="s">
        <v>96</v>
      </c>
      <c r="B82" s="10" t="s">
        <v>56</v>
      </c>
      <c r="C82" s="11" t="s">
        <v>16</v>
      </c>
      <c r="D82" s="9" t="s">
        <v>57</v>
      </c>
      <c r="E82" s="11" t="s">
        <v>145</v>
      </c>
      <c r="F82" s="12">
        <f>11580.9+3330</f>
        <v>14910.9</v>
      </c>
      <c r="G82" s="20">
        <v>2.02</v>
      </c>
      <c r="H82" s="21">
        <f>ROUND(G82+($G$3*G82),2)</f>
        <v>2.4700000000000002</v>
      </c>
      <c r="I82" s="13">
        <f t="shared" si="2"/>
        <v>36829.919999999998</v>
      </c>
      <c r="J82" s="14">
        <f t="shared" si="41"/>
        <v>7.6741760875804312E-3</v>
      </c>
      <c r="L82" s="8">
        <f>F76+F77+F80+F81</f>
        <v>7395.21</v>
      </c>
    </row>
    <row r="83" spans="1:12" ht="24" customHeight="1" x14ac:dyDescent="0.2">
      <c r="A83" s="137" t="s">
        <v>97</v>
      </c>
      <c r="B83" s="212" t="s">
        <v>98</v>
      </c>
      <c r="C83" s="213"/>
      <c r="D83" s="213"/>
      <c r="E83" s="213"/>
      <c r="F83" s="213"/>
      <c r="G83" s="213"/>
      <c r="H83" s="214"/>
      <c r="I83" s="138">
        <f>SUM(I84:I86)</f>
        <v>280505.78000000003</v>
      </c>
      <c r="J83" s="139">
        <f t="shared" si="41"/>
        <v>5.8448423165298691E-2</v>
      </c>
    </row>
    <row r="84" spans="1:12" s="4" customFormat="1" ht="42.75" customHeight="1" x14ac:dyDescent="0.2">
      <c r="A84" s="9" t="s">
        <v>174</v>
      </c>
      <c r="B84" s="17" t="s">
        <v>175</v>
      </c>
      <c r="C84" s="17" t="s">
        <v>131</v>
      </c>
      <c r="D84" s="31" t="s">
        <v>176</v>
      </c>
      <c r="E84" s="11" t="s">
        <v>146</v>
      </c>
      <c r="F84" s="19">
        <f>3603.53+1093.35</f>
        <v>4696.88</v>
      </c>
      <c r="G84" s="20">
        <f>CPU´S!H179</f>
        <v>46.389999999999993</v>
      </c>
      <c r="H84" s="20">
        <f>ROUND(G84+($G$3*G84),2)</f>
        <v>56.81</v>
      </c>
      <c r="I84" s="20">
        <f t="shared" ref="I84" si="42">ROUND(F84*H84,2)</f>
        <v>266829.75</v>
      </c>
      <c r="J84" s="22">
        <f t="shared" si="41"/>
        <v>5.5598776399869036E-2</v>
      </c>
    </row>
    <row r="85" spans="1:12" ht="36" customHeight="1" x14ac:dyDescent="0.2">
      <c r="A85" s="9" t="s">
        <v>99</v>
      </c>
      <c r="B85" s="10" t="s">
        <v>56</v>
      </c>
      <c r="C85" s="11" t="s">
        <v>16</v>
      </c>
      <c r="D85" s="9" t="s">
        <v>57</v>
      </c>
      <c r="E85" s="11" t="s">
        <v>145</v>
      </c>
      <c r="F85" s="12">
        <f>3848.57+1167.7</f>
        <v>5016.2700000000004</v>
      </c>
      <c r="G85" s="20">
        <v>2.02</v>
      </c>
      <c r="H85" s="21">
        <f>ROUND(G85+($G$3*G85),2)</f>
        <v>2.4700000000000002</v>
      </c>
      <c r="I85" s="13">
        <f t="shared" si="2"/>
        <v>12390.19</v>
      </c>
      <c r="J85" s="14">
        <f t="shared" si="41"/>
        <v>2.5817188801544556E-3</v>
      </c>
    </row>
    <row r="86" spans="1:12" ht="52.5" customHeight="1" x14ac:dyDescent="0.2">
      <c r="A86" s="9" t="s">
        <v>100</v>
      </c>
      <c r="B86" s="10" t="s">
        <v>58</v>
      </c>
      <c r="C86" s="11" t="s">
        <v>16</v>
      </c>
      <c r="D86" s="9" t="s">
        <v>59</v>
      </c>
      <c r="E86" s="15" t="s">
        <v>40</v>
      </c>
      <c r="F86" s="12">
        <v>167.21</v>
      </c>
      <c r="G86" s="20">
        <v>6.28</v>
      </c>
      <c r="H86" s="21">
        <f>ROUND(G86+($G$3*G86),2)</f>
        <v>7.69</v>
      </c>
      <c r="I86" s="13">
        <f t="shared" si="2"/>
        <v>1285.8399999999999</v>
      </c>
      <c r="J86" s="14">
        <f t="shared" si="41"/>
        <v>2.679278852751899E-4</v>
      </c>
    </row>
    <row r="87" spans="1:12" ht="24" customHeight="1" x14ac:dyDescent="0.2">
      <c r="A87" s="137" t="s">
        <v>101</v>
      </c>
      <c r="B87" s="212" t="s">
        <v>102</v>
      </c>
      <c r="C87" s="213"/>
      <c r="D87" s="213"/>
      <c r="E87" s="213"/>
      <c r="F87" s="213"/>
      <c r="G87" s="213"/>
      <c r="H87" s="214"/>
      <c r="I87" s="138">
        <f>SUM(I88:I97)</f>
        <v>589851.68000000005</v>
      </c>
      <c r="J87" s="139">
        <f t="shared" si="41"/>
        <v>0.12290620391994186</v>
      </c>
    </row>
    <row r="88" spans="1:12" ht="36" customHeight="1" x14ac:dyDescent="0.2">
      <c r="A88" s="9" t="s">
        <v>103</v>
      </c>
      <c r="B88" s="10" t="s">
        <v>104</v>
      </c>
      <c r="C88" s="11" t="s">
        <v>16</v>
      </c>
      <c r="D88" s="9" t="s">
        <v>105</v>
      </c>
      <c r="E88" s="15" t="s">
        <v>47</v>
      </c>
      <c r="F88" s="12">
        <f>4324.24+1605.17</f>
        <v>5929.41</v>
      </c>
      <c r="G88" s="20">
        <v>0.52</v>
      </c>
      <c r="H88" s="21">
        <f t="shared" ref="H88:H97" si="43">ROUND(G88+($G$3*G88),2)</f>
        <v>0.64</v>
      </c>
      <c r="I88" s="13">
        <f t="shared" si="2"/>
        <v>3794.82</v>
      </c>
      <c r="J88" s="14">
        <f t="shared" si="41"/>
        <v>7.9071898338828794E-4</v>
      </c>
    </row>
    <row r="89" spans="1:12" ht="48" customHeight="1" x14ac:dyDescent="0.2">
      <c r="A89" s="9" t="s">
        <v>106</v>
      </c>
      <c r="B89" s="10" t="s">
        <v>107</v>
      </c>
      <c r="C89" s="11" t="s">
        <v>16</v>
      </c>
      <c r="D89" s="9" t="s">
        <v>108</v>
      </c>
      <c r="E89" s="15" t="s">
        <v>40</v>
      </c>
      <c r="F89" s="12">
        <f>F88*0.07</f>
        <v>415.05870000000004</v>
      </c>
      <c r="G89" s="20">
        <v>8.5500000000000007</v>
      </c>
      <c r="H89" s="21">
        <f t="shared" si="43"/>
        <v>10.47</v>
      </c>
      <c r="I89" s="13">
        <f t="shared" si="2"/>
        <v>4345.66</v>
      </c>
      <c r="J89" s="14">
        <f t="shared" si="41"/>
        <v>9.0549640229342816E-4</v>
      </c>
    </row>
    <row r="90" spans="1:12" ht="36" customHeight="1" x14ac:dyDescent="0.2">
      <c r="A90" s="9" t="s">
        <v>109</v>
      </c>
      <c r="B90" s="10" t="s">
        <v>56</v>
      </c>
      <c r="C90" s="11" t="s">
        <v>16</v>
      </c>
      <c r="D90" s="9" t="s">
        <v>57</v>
      </c>
      <c r="E90" s="11" t="s">
        <v>145</v>
      </c>
      <c r="F90" s="12">
        <f>8217.14+2093</f>
        <v>10310.14</v>
      </c>
      <c r="G90" s="20">
        <v>2.02</v>
      </c>
      <c r="H90" s="21">
        <f t="shared" si="43"/>
        <v>2.4700000000000002</v>
      </c>
      <c r="I90" s="13">
        <f t="shared" si="2"/>
        <v>25466.05</v>
      </c>
      <c r="J90" s="14">
        <f t="shared" si="41"/>
        <v>5.3063094341537437E-3</v>
      </c>
    </row>
    <row r="91" spans="1:12" ht="36" customHeight="1" x14ac:dyDescent="0.2">
      <c r="A91" s="9" t="s">
        <v>177</v>
      </c>
      <c r="B91" s="17" t="s">
        <v>179</v>
      </c>
      <c r="C91" s="17" t="s">
        <v>131</v>
      </c>
      <c r="D91" s="31" t="s">
        <v>180</v>
      </c>
      <c r="E91" s="11" t="s">
        <v>146</v>
      </c>
      <c r="F91" s="12">
        <f>754.4+590.4</f>
        <v>1344.8</v>
      </c>
      <c r="G91" s="13">
        <f>CPU´S!H188</f>
        <v>51.14</v>
      </c>
      <c r="H91" s="21">
        <f t="shared" si="43"/>
        <v>62.63</v>
      </c>
      <c r="I91" s="13">
        <f t="shared" si="2"/>
        <v>84224.82</v>
      </c>
      <c r="J91" s="14">
        <f t="shared" ref="J91" si="44">I91/$H$104</f>
        <v>1.7549755731882288E-2</v>
      </c>
    </row>
    <row r="92" spans="1:12" ht="41.25" customHeight="1" x14ac:dyDescent="0.2">
      <c r="A92" s="9" t="s">
        <v>110</v>
      </c>
      <c r="B92" s="10" t="s">
        <v>111</v>
      </c>
      <c r="C92" s="11" t="s">
        <v>16</v>
      </c>
      <c r="D92" s="9" t="s">
        <v>112</v>
      </c>
      <c r="E92" s="15" t="s">
        <v>40</v>
      </c>
      <c r="F92" s="12">
        <v>21.52</v>
      </c>
      <c r="G92" s="20">
        <v>335.12</v>
      </c>
      <c r="H92" s="21">
        <f t="shared" si="43"/>
        <v>410.42</v>
      </c>
      <c r="I92" s="13">
        <f t="shared" si="2"/>
        <v>8832.24</v>
      </c>
      <c r="J92" s="14">
        <f>I92/$H$104</f>
        <v>1.8403560205336148E-3</v>
      </c>
    </row>
    <row r="93" spans="1:12" ht="33.75" customHeight="1" x14ac:dyDescent="0.2">
      <c r="A93" s="9" t="s">
        <v>113</v>
      </c>
      <c r="B93" s="10" t="s">
        <v>114</v>
      </c>
      <c r="C93" s="11" t="s">
        <v>16</v>
      </c>
      <c r="D93" s="9" t="s">
        <v>115</v>
      </c>
      <c r="E93" s="15" t="s">
        <v>40</v>
      </c>
      <c r="F93" s="12">
        <f>F92</f>
        <v>21.52</v>
      </c>
      <c r="G93" s="20">
        <v>219.96</v>
      </c>
      <c r="H93" s="21">
        <f t="shared" si="43"/>
        <v>269.39</v>
      </c>
      <c r="I93" s="13">
        <f t="shared" si="2"/>
        <v>5797.27</v>
      </c>
      <c r="J93" s="14">
        <f>I93/$H$104</f>
        <v>1.2079654478545545E-3</v>
      </c>
    </row>
    <row r="94" spans="1:12" ht="36" customHeight="1" x14ac:dyDescent="0.2">
      <c r="A94" s="9" t="s">
        <v>116</v>
      </c>
      <c r="B94" s="10" t="s">
        <v>117</v>
      </c>
      <c r="C94" s="11" t="s">
        <v>16</v>
      </c>
      <c r="D94" s="9" t="s">
        <v>118</v>
      </c>
      <c r="E94" s="15" t="s">
        <v>40</v>
      </c>
      <c r="F94" s="12">
        <f>428.82+112.36</f>
        <v>541.17999999999995</v>
      </c>
      <c r="G94" s="20">
        <v>684.33</v>
      </c>
      <c r="H94" s="21">
        <f t="shared" si="43"/>
        <v>838.1</v>
      </c>
      <c r="I94" s="13">
        <f t="shared" ref="I94:I101" si="45">ROUND(F94*H94,2)</f>
        <v>453562.96</v>
      </c>
      <c r="J94" s="14">
        <f>I94/$H$104</f>
        <v>9.4507998438340346E-2</v>
      </c>
    </row>
    <row r="95" spans="1:12" ht="36" customHeight="1" x14ac:dyDescent="0.2">
      <c r="A95" s="9" t="s">
        <v>119</v>
      </c>
      <c r="B95" s="10" t="s">
        <v>120</v>
      </c>
      <c r="C95" s="11" t="s">
        <v>16</v>
      </c>
      <c r="D95" s="9" t="s">
        <v>121</v>
      </c>
      <c r="E95" s="11" t="s">
        <v>147</v>
      </c>
      <c r="F95" s="12">
        <f>F97*30</f>
        <v>705.90000000000009</v>
      </c>
      <c r="G95" s="20">
        <v>2.09</v>
      </c>
      <c r="H95" s="21">
        <f t="shared" si="43"/>
        <v>2.56</v>
      </c>
      <c r="I95" s="13">
        <f t="shared" si="45"/>
        <v>1807.1</v>
      </c>
      <c r="J95" s="14">
        <f>I95/$H$104</f>
        <v>3.7654177928886617E-4</v>
      </c>
    </row>
    <row r="96" spans="1:12" ht="44.25" customHeight="1" x14ac:dyDescent="0.2">
      <c r="A96" s="9" t="s">
        <v>122</v>
      </c>
      <c r="B96" s="10" t="s">
        <v>123</v>
      </c>
      <c r="C96" s="11" t="s">
        <v>16</v>
      </c>
      <c r="D96" s="9" t="s">
        <v>124</v>
      </c>
      <c r="E96" s="11" t="s">
        <v>147</v>
      </c>
      <c r="F96" s="12">
        <f>F97*50</f>
        <v>1176.5</v>
      </c>
      <c r="G96" s="20">
        <v>0.83</v>
      </c>
      <c r="H96" s="21">
        <f t="shared" si="43"/>
        <v>1.02</v>
      </c>
      <c r="I96" s="13">
        <f t="shared" si="45"/>
        <v>1200.03</v>
      </c>
      <c r="J96" s="14">
        <f t="shared" ref="J96:J103" si="46">I96/$H$104</f>
        <v>2.5004782878646344E-4</v>
      </c>
    </row>
    <row r="97" spans="1:10" ht="36" customHeight="1" x14ac:dyDescent="0.2">
      <c r="A97" s="9" t="s">
        <v>178</v>
      </c>
      <c r="B97" s="17" t="s">
        <v>181</v>
      </c>
      <c r="C97" s="17" t="s">
        <v>131</v>
      </c>
      <c r="D97" s="31" t="s">
        <v>182</v>
      </c>
      <c r="E97" s="11" t="s">
        <v>75</v>
      </c>
      <c r="F97" s="12">
        <v>23.53</v>
      </c>
      <c r="G97" s="13">
        <f>CPU´S!H145</f>
        <v>28.48</v>
      </c>
      <c r="H97" s="21">
        <f t="shared" si="43"/>
        <v>34.880000000000003</v>
      </c>
      <c r="I97" s="13">
        <f t="shared" ref="I97" si="47">ROUND(F97*H97,2)</f>
        <v>820.73</v>
      </c>
      <c r="J97" s="14">
        <f t="shared" si="46"/>
        <v>1.7101385342025962E-4</v>
      </c>
    </row>
    <row r="98" spans="1:10" ht="24" customHeight="1" x14ac:dyDescent="0.2">
      <c r="A98" s="137" t="s">
        <v>125</v>
      </c>
      <c r="B98" s="212" t="s">
        <v>126</v>
      </c>
      <c r="C98" s="213"/>
      <c r="D98" s="213"/>
      <c r="E98" s="213"/>
      <c r="F98" s="213"/>
      <c r="G98" s="213"/>
      <c r="H98" s="214"/>
      <c r="I98" s="138">
        <f>SUM(I99:I103)</f>
        <v>167141.56000000003</v>
      </c>
      <c r="J98" s="139">
        <f t="shared" si="46"/>
        <v>3.4826949474581814E-2</v>
      </c>
    </row>
    <row r="99" spans="1:10" ht="29.25" customHeight="1" x14ac:dyDescent="0.2">
      <c r="A99" s="9" t="s">
        <v>183</v>
      </c>
      <c r="B99" s="17" t="s">
        <v>187</v>
      </c>
      <c r="C99" s="17" t="s">
        <v>131</v>
      </c>
      <c r="D99" s="31" t="s">
        <v>188</v>
      </c>
      <c r="E99" s="11" t="s">
        <v>47</v>
      </c>
      <c r="F99" s="26">
        <f>141.3+10.8+32.76</f>
        <v>184.86</v>
      </c>
      <c r="G99" s="21">
        <f>CPU´S!H194</f>
        <v>15.799999999999999</v>
      </c>
      <c r="H99" s="21">
        <f>ROUND(G99+($G$3*G99),2)</f>
        <v>19.350000000000001</v>
      </c>
      <c r="I99" s="13">
        <f t="shared" ref="I99:I100" si="48">ROUND(F99*H99,2)</f>
        <v>3577.04</v>
      </c>
      <c r="J99" s="14">
        <f t="shared" si="46"/>
        <v>7.4534060438683294E-4</v>
      </c>
    </row>
    <row r="100" spans="1:10" ht="29.25" customHeight="1" x14ac:dyDescent="0.2">
      <c r="A100" s="9" t="s">
        <v>184</v>
      </c>
      <c r="B100" s="17" t="s">
        <v>189</v>
      </c>
      <c r="C100" s="17" t="s">
        <v>131</v>
      </c>
      <c r="D100" s="31" t="s">
        <v>190</v>
      </c>
      <c r="E100" s="11" t="s">
        <v>47</v>
      </c>
      <c r="F100" s="26">
        <f>122.26+17.52+8.8+13.04</f>
        <v>161.62</v>
      </c>
      <c r="G100" s="21">
        <f>CPU´S!H205</f>
        <v>732.81</v>
      </c>
      <c r="H100" s="21">
        <f>ROUND(G100+($G$3*G100),2)</f>
        <v>897.47</v>
      </c>
      <c r="I100" s="13">
        <f t="shared" si="48"/>
        <v>145049.1</v>
      </c>
      <c r="J100" s="14">
        <f t="shared" si="46"/>
        <v>3.0223588178987706E-2</v>
      </c>
    </row>
    <row r="101" spans="1:10" ht="25.5" x14ac:dyDescent="0.2">
      <c r="A101" s="23" t="s">
        <v>127</v>
      </c>
      <c r="B101" s="24" t="s">
        <v>128</v>
      </c>
      <c r="C101" s="25" t="s">
        <v>16</v>
      </c>
      <c r="D101" s="23" t="s">
        <v>129</v>
      </c>
      <c r="E101" s="11" t="s">
        <v>144</v>
      </c>
      <c r="F101" s="26">
        <f>11+4</f>
        <v>15</v>
      </c>
      <c r="G101" s="21">
        <f>CPU´S!H206</f>
        <v>2.69</v>
      </c>
      <c r="H101" s="21">
        <f>ROUND(G101+($G$3*G101),2)</f>
        <v>3.29</v>
      </c>
      <c r="I101" s="13">
        <f t="shared" si="45"/>
        <v>49.35</v>
      </c>
      <c r="J101" s="14">
        <f t="shared" si="46"/>
        <v>1.0282959884846188E-5</v>
      </c>
    </row>
    <row r="102" spans="1:10" ht="70.5" customHeight="1" x14ac:dyDescent="0.2">
      <c r="A102" s="9" t="s">
        <v>185</v>
      </c>
      <c r="B102" s="17" t="s">
        <v>191</v>
      </c>
      <c r="C102" s="17" t="s">
        <v>131</v>
      </c>
      <c r="D102" s="31" t="s">
        <v>192</v>
      </c>
      <c r="E102" s="11" t="s">
        <v>144</v>
      </c>
      <c r="F102" s="26">
        <f>11+4</f>
        <v>15</v>
      </c>
      <c r="G102" s="21">
        <f>CPU´S!H216</f>
        <v>436.51</v>
      </c>
      <c r="H102" s="21">
        <f>ROUND(G102+($G$3*G102),2)</f>
        <v>534.59</v>
      </c>
      <c r="I102" s="13">
        <f t="shared" ref="I102:I103" si="49">ROUND(F102*H102,2)</f>
        <v>8018.85</v>
      </c>
      <c r="J102" s="14">
        <f t="shared" si="46"/>
        <v>1.6708715880972412E-3</v>
      </c>
    </row>
    <row r="103" spans="1:10" ht="56.25" customHeight="1" x14ac:dyDescent="0.2">
      <c r="A103" s="9" t="s">
        <v>186</v>
      </c>
      <c r="B103" s="17" t="s">
        <v>193</v>
      </c>
      <c r="C103" s="17" t="s">
        <v>131</v>
      </c>
      <c r="D103" s="31" t="s">
        <v>194</v>
      </c>
      <c r="E103" s="11" t="s">
        <v>47</v>
      </c>
      <c r="F103" s="26">
        <f>12.6+3.6</f>
        <v>16.2</v>
      </c>
      <c r="G103" s="21">
        <f>CPU´S!H227</f>
        <v>526.57000000000005</v>
      </c>
      <c r="H103" s="21">
        <f>ROUND(G103+($G$3*G103),2)</f>
        <v>644.89</v>
      </c>
      <c r="I103" s="13">
        <f t="shared" si="49"/>
        <v>10447.219999999999</v>
      </c>
      <c r="J103" s="14">
        <f t="shared" si="46"/>
        <v>2.176866143225183E-3</v>
      </c>
    </row>
    <row r="104" spans="1:10" ht="30.75" customHeight="1" x14ac:dyDescent="0.2">
      <c r="A104" s="207"/>
      <c r="B104" s="207"/>
      <c r="C104" s="207"/>
      <c r="D104" s="32"/>
      <c r="E104" s="33"/>
      <c r="F104" s="208" t="s">
        <v>130</v>
      </c>
      <c r="G104" s="207"/>
      <c r="H104" s="209">
        <f>I7+I16+I22+I33+I66+I70+I78+I83+I87+I98</f>
        <v>4799201.8399999989</v>
      </c>
      <c r="I104" s="209"/>
      <c r="J104" s="209"/>
    </row>
    <row r="105" spans="1:10" ht="60" customHeight="1" x14ac:dyDescent="0.2">
      <c r="A105" s="1"/>
      <c r="B105" s="1"/>
      <c r="C105" s="1"/>
      <c r="D105" s="1"/>
      <c r="E105" s="1"/>
      <c r="F105" s="7"/>
      <c r="G105" s="5"/>
      <c r="H105" s="5"/>
      <c r="I105" s="5"/>
      <c r="J105" s="1"/>
    </row>
    <row r="106" spans="1:10" ht="69.95" customHeight="1" x14ac:dyDescent="0.2">
      <c r="A106" s="210"/>
      <c r="B106" s="211"/>
      <c r="C106" s="211"/>
      <c r="D106" s="211"/>
      <c r="E106" s="211"/>
      <c r="F106" s="211"/>
      <c r="G106" s="211"/>
      <c r="H106" s="211"/>
      <c r="I106" s="211"/>
      <c r="J106" s="211"/>
    </row>
    <row r="107" spans="1:10" ht="30" customHeight="1" x14ac:dyDescent="0.2">
      <c r="I107" s="183"/>
      <c r="J107" s="183"/>
    </row>
    <row r="108" spans="1:10" x14ac:dyDescent="0.2">
      <c r="I108" s="184"/>
      <c r="J108" s="184"/>
    </row>
  </sheetData>
  <mergeCells count="27">
    <mergeCell ref="A106:J106"/>
    <mergeCell ref="B7:H7"/>
    <mergeCell ref="B66:H66"/>
    <mergeCell ref="B33:H33"/>
    <mergeCell ref="B22:H22"/>
    <mergeCell ref="B16:H16"/>
    <mergeCell ref="B98:H98"/>
    <mergeCell ref="B87:H87"/>
    <mergeCell ref="B83:H83"/>
    <mergeCell ref="B78:H78"/>
    <mergeCell ref="B70:H70"/>
    <mergeCell ref="I107:J107"/>
    <mergeCell ref="I108:J108"/>
    <mergeCell ref="I2:J2"/>
    <mergeCell ref="A1:J1"/>
    <mergeCell ref="B2:F2"/>
    <mergeCell ref="I5:J5"/>
    <mergeCell ref="G3:G4"/>
    <mergeCell ref="H3:H4"/>
    <mergeCell ref="I3:J4"/>
    <mergeCell ref="B4:F4"/>
    <mergeCell ref="B3:F3"/>
    <mergeCell ref="G5:H5"/>
    <mergeCell ref="A5:F5"/>
    <mergeCell ref="A104:C104"/>
    <mergeCell ref="F104:G104"/>
    <mergeCell ref="H104:J104"/>
  </mergeCells>
  <phoneticPr fontId="31" type="noConversion"/>
  <pageMargins left="0.51181102362204722" right="0.51181102362204722" top="0.78740157480314965" bottom="0.78740157480314965" header="0.51181102362204722" footer="0.51181102362204722"/>
  <pageSetup paperSize="9" scale="53" fitToHeight="0" orientation="portrait" r:id="rId1"/>
  <headerFooter>
    <oddHeader xml:space="preserve">&amp;L </oddHeader>
    <oddFooter>&amp;L &amp;C&amp;"Arial,Negrito itálico" Engª Wanessa M. Lelis Basso&amp;"Arial,Normal"
CREA/MS - 8605/D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zoomScale="85" zoomScaleNormal="85" workbookViewId="0">
      <selection activeCell="J18" sqref="J18"/>
    </sheetView>
  </sheetViews>
  <sheetFormatPr defaultRowHeight="14.25" x14ac:dyDescent="0.2"/>
  <cols>
    <col min="1" max="1" width="9" style="34"/>
    <col min="2" max="2" width="49.625" style="34" customWidth="1"/>
    <col min="3" max="3" width="17.75" style="34" customWidth="1"/>
    <col min="4" max="4" width="8.125" style="34" customWidth="1"/>
    <col min="5" max="5" width="16.625" style="53" customWidth="1"/>
    <col min="6" max="6" width="7.5" style="54" customWidth="1"/>
    <col min="7" max="7" width="16.625" style="53" customWidth="1"/>
    <col min="8" max="8" width="6.875" style="54" customWidth="1"/>
    <col min="9" max="9" width="16.625" style="53" customWidth="1"/>
    <col min="10" max="10" width="7.875" style="54" customWidth="1"/>
    <col min="11" max="11" width="16.5" style="54" customWidth="1"/>
    <col min="12" max="12" width="8.125" style="54" customWidth="1"/>
    <col min="13" max="13" width="16.625" style="54" customWidth="1"/>
    <col min="14" max="14" width="8.875" style="54" customWidth="1"/>
    <col min="15" max="15" width="17.875" style="54" customWidth="1"/>
    <col min="16" max="16" width="8.875" style="54" customWidth="1"/>
    <col min="17" max="17" width="17.375" style="54" customWidth="1"/>
    <col min="18" max="18" width="8.875" style="54" customWidth="1"/>
    <col min="19" max="19" width="17.875" style="54" customWidth="1"/>
    <col min="20" max="20" width="8.875" style="54" customWidth="1"/>
    <col min="21" max="21" width="17.875" style="54" customWidth="1"/>
    <col min="22" max="22" width="8.875" style="54" customWidth="1"/>
    <col min="23" max="23" width="16.625" style="53" customWidth="1"/>
    <col min="24" max="24" width="8.875" style="79" customWidth="1"/>
    <col min="25" max="25" width="18.625" style="53" customWidth="1"/>
    <col min="26" max="26" width="9" style="34"/>
    <col min="27" max="27" width="20.25" style="34" customWidth="1"/>
    <col min="28" max="269" width="9" style="34"/>
    <col min="270" max="270" width="61.875" style="34" bestFit="1" customWidth="1"/>
    <col min="271" max="271" width="17.75" style="34" customWidth="1"/>
    <col min="272" max="272" width="8.125" style="34" customWidth="1"/>
    <col min="273" max="273" width="18.625" style="34" customWidth="1"/>
    <col min="274" max="274" width="7.5" style="34" customWidth="1"/>
    <col min="275" max="275" width="19.125" style="34" customWidth="1"/>
    <col min="276" max="276" width="6.875" style="34" customWidth="1"/>
    <col min="277" max="277" width="17.625" style="34" customWidth="1"/>
    <col min="278" max="278" width="9" style="34"/>
    <col min="279" max="279" width="17.375" style="34" customWidth="1"/>
    <col min="280" max="280" width="9" style="34"/>
    <col min="281" max="281" width="21" style="34" customWidth="1"/>
    <col min="282" max="282" width="9" style="34"/>
    <col min="283" max="283" width="11.375" style="34" customWidth="1"/>
    <col min="284" max="525" width="9" style="34"/>
    <col min="526" max="526" width="61.875" style="34" bestFit="1" customWidth="1"/>
    <col min="527" max="527" width="17.75" style="34" customWidth="1"/>
    <col min="528" max="528" width="8.125" style="34" customWidth="1"/>
    <col min="529" max="529" width="18.625" style="34" customWidth="1"/>
    <col min="530" max="530" width="7.5" style="34" customWidth="1"/>
    <col min="531" max="531" width="19.125" style="34" customWidth="1"/>
    <col min="532" max="532" width="6.875" style="34" customWidth="1"/>
    <col min="533" max="533" width="17.625" style="34" customWidth="1"/>
    <col min="534" max="534" width="9" style="34"/>
    <col min="535" max="535" width="17.375" style="34" customWidth="1"/>
    <col min="536" max="536" width="9" style="34"/>
    <col min="537" max="537" width="21" style="34" customWidth="1"/>
    <col min="538" max="538" width="9" style="34"/>
    <col min="539" max="539" width="11.375" style="34" customWidth="1"/>
    <col min="540" max="781" width="9" style="34"/>
    <col min="782" max="782" width="61.875" style="34" bestFit="1" customWidth="1"/>
    <col min="783" max="783" width="17.75" style="34" customWidth="1"/>
    <col min="784" max="784" width="8.125" style="34" customWidth="1"/>
    <col min="785" max="785" width="18.625" style="34" customWidth="1"/>
    <col min="786" max="786" width="7.5" style="34" customWidth="1"/>
    <col min="787" max="787" width="19.125" style="34" customWidth="1"/>
    <col min="788" max="788" width="6.875" style="34" customWidth="1"/>
    <col min="789" max="789" width="17.625" style="34" customWidth="1"/>
    <col min="790" max="790" width="9" style="34"/>
    <col min="791" max="791" width="17.375" style="34" customWidth="1"/>
    <col min="792" max="792" width="9" style="34"/>
    <col min="793" max="793" width="21" style="34" customWidth="1"/>
    <col min="794" max="794" width="9" style="34"/>
    <col min="795" max="795" width="11.375" style="34" customWidth="1"/>
    <col min="796" max="1037" width="9" style="34"/>
    <col min="1038" max="1038" width="61.875" style="34" bestFit="1" customWidth="1"/>
    <col min="1039" max="1039" width="17.75" style="34" customWidth="1"/>
    <col min="1040" max="1040" width="8.125" style="34" customWidth="1"/>
    <col min="1041" max="1041" width="18.625" style="34" customWidth="1"/>
    <col min="1042" max="1042" width="7.5" style="34" customWidth="1"/>
    <col min="1043" max="1043" width="19.125" style="34" customWidth="1"/>
    <col min="1044" max="1044" width="6.875" style="34" customWidth="1"/>
    <col min="1045" max="1045" width="17.625" style="34" customWidth="1"/>
    <col min="1046" max="1046" width="9" style="34"/>
    <col min="1047" max="1047" width="17.375" style="34" customWidth="1"/>
    <col min="1048" max="1048" width="9" style="34"/>
    <col min="1049" max="1049" width="21" style="34" customWidth="1"/>
    <col min="1050" max="1050" width="9" style="34"/>
    <col min="1051" max="1051" width="11.375" style="34" customWidth="1"/>
    <col min="1052" max="1293" width="9" style="34"/>
    <col min="1294" max="1294" width="61.875" style="34" bestFit="1" customWidth="1"/>
    <col min="1295" max="1295" width="17.75" style="34" customWidth="1"/>
    <col min="1296" max="1296" width="8.125" style="34" customWidth="1"/>
    <col min="1297" max="1297" width="18.625" style="34" customWidth="1"/>
    <col min="1298" max="1298" width="7.5" style="34" customWidth="1"/>
    <col min="1299" max="1299" width="19.125" style="34" customWidth="1"/>
    <col min="1300" max="1300" width="6.875" style="34" customWidth="1"/>
    <col min="1301" max="1301" width="17.625" style="34" customWidth="1"/>
    <col min="1302" max="1302" width="9" style="34"/>
    <col min="1303" max="1303" width="17.375" style="34" customWidth="1"/>
    <col min="1304" max="1304" width="9" style="34"/>
    <col min="1305" max="1305" width="21" style="34" customWidth="1"/>
    <col min="1306" max="1306" width="9" style="34"/>
    <col min="1307" max="1307" width="11.375" style="34" customWidth="1"/>
    <col min="1308" max="1549" width="9" style="34"/>
    <col min="1550" max="1550" width="61.875" style="34" bestFit="1" customWidth="1"/>
    <col min="1551" max="1551" width="17.75" style="34" customWidth="1"/>
    <col min="1552" max="1552" width="8.125" style="34" customWidth="1"/>
    <col min="1553" max="1553" width="18.625" style="34" customWidth="1"/>
    <col min="1554" max="1554" width="7.5" style="34" customWidth="1"/>
    <col min="1555" max="1555" width="19.125" style="34" customWidth="1"/>
    <col min="1556" max="1556" width="6.875" style="34" customWidth="1"/>
    <col min="1557" max="1557" width="17.625" style="34" customWidth="1"/>
    <col min="1558" max="1558" width="9" style="34"/>
    <col min="1559" max="1559" width="17.375" style="34" customWidth="1"/>
    <col min="1560" max="1560" width="9" style="34"/>
    <col min="1561" max="1561" width="21" style="34" customWidth="1"/>
    <col min="1562" max="1562" width="9" style="34"/>
    <col min="1563" max="1563" width="11.375" style="34" customWidth="1"/>
    <col min="1564" max="1805" width="9" style="34"/>
    <col min="1806" max="1806" width="61.875" style="34" bestFit="1" customWidth="1"/>
    <col min="1807" max="1807" width="17.75" style="34" customWidth="1"/>
    <col min="1808" max="1808" width="8.125" style="34" customWidth="1"/>
    <col min="1809" max="1809" width="18.625" style="34" customWidth="1"/>
    <col min="1810" max="1810" width="7.5" style="34" customWidth="1"/>
    <col min="1811" max="1811" width="19.125" style="34" customWidth="1"/>
    <col min="1812" max="1812" width="6.875" style="34" customWidth="1"/>
    <col min="1813" max="1813" width="17.625" style="34" customWidth="1"/>
    <col min="1814" max="1814" width="9" style="34"/>
    <col min="1815" max="1815" width="17.375" style="34" customWidth="1"/>
    <col min="1816" max="1816" width="9" style="34"/>
    <col min="1817" max="1817" width="21" style="34" customWidth="1"/>
    <col min="1818" max="1818" width="9" style="34"/>
    <col min="1819" max="1819" width="11.375" style="34" customWidth="1"/>
    <col min="1820" max="2061" width="9" style="34"/>
    <col min="2062" max="2062" width="61.875" style="34" bestFit="1" customWidth="1"/>
    <col min="2063" max="2063" width="17.75" style="34" customWidth="1"/>
    <col min="2064" max="2064" width="8.125" style="34" customWidth="1"/>
    <col min="2065" max="2065" width="18.625" style="34" customWidth="1"/>
    <col min="2066" max="2066" width="7.5" style="34" customWidth="1"/>
    <col min="2067" max="2067" width="19.125" style="34" customWidth="1"/>
    <col min="2068" max="2068" width="6.875" style="34" customWidth="1"/>
    <col min="2069" max="2069" width="17.625" style="34" customWidth="1"/>
    <col min="2070" max="2070" width="9" style="34"/>
    <col min="2071" max="2071" width="17.375" style="34" customWidth="1"/>
    <col min="2072" max="2072" width="9" style="34"/>
    <col min="2073" max="2073" width="21" style="34" customWidth="1"/>
    <col min="2074" max="2074" width="9" style="34"/>
    <col min="2075" max="2075" width="11.375" style="34" customWidth="1"/>
    <col min="2076" max="2317" width="9" style="34"/>
    <col min="2318" max="2318" width="61.875" style="34" bestFit="1" customWidth="1"/>
    <col min="2319" max="2319" width="17.75" style="34" customWidth="1"/>
    <col min="2320" max="2320" width="8.125" style="34" customWidth="1"/>
    <col min="2321" max="2321" width="18.625" style="34" customWidth="1"/>
    <col min="2322" max="2322" width="7.5" style="34" customWidth="1"/>
    <col min="2323" max="2323" width="19.125" style="34" customWidth="1"/>
    <col min="2324" max="2324" width="6.875" style="34" customWidth="1"/>
    <col min="2325" max="2325" width="17.625" style="34" customWidth="1"/>
    <col min="2326" max="2326" width="9" style="34"/>
    <col min="2327" max="2327" width="17.375" style="34" customWidth="1"/>
    <col min="2328" max="2328" width="9" style="34"/>
    <col min="2329" max="2329" width="21" style="34" customWidth="1"/>
    <col min="2330" max="2330" width="9" style="34"/>
    <col min="2331" max="2331" width="11.375" style="34" customWidth="1"/>
    <col min="2332" max="2573" width="9" style="34"/>
    <col min="2574" max="2574" width="61.875" style="34" bestFit="1" customWidth="1"/>
    <col min="2575" max="2575" width="17.75" style="34" customWidth="1"/>
    <col min="2576" max="2576" width="8.125" style="34" customWidth="1"/>
    <col min="2577" max="2577" width="18.625" style="34" customWidth="1"/>
    <col min="2578" max="2578" width="7.5" style="34" customWidth="1"/>
    <col min="2579" max="2579" width="19.125" style="34" customWidth="1"/>
    <col min="2580" max="2580" width="6.875" style="34" customWidth="1"/>
    <col min="2581" max="2581" width="17.625" style="34" customWidth="1"/>
    <col min="2582" max="2582" width="9" style="34"/>
    <col min="2583" max="2583" width="17.375" style="34" customWidth="1"/>
    <col min="2584" max="2584" width="9" style="34"/>
    <col min="2585" max="2585" width="21" style="34" customWidth="1"/>
    <col min="2586" max="2586" width="9" style="34"/>
    <col min="2587" max="2587" width="11.375" style="34" customWidth="1"/>
    <col min="2588" max="2829" width="9" style="34"/>
    <col min="2830" max="2830" width="61.875" style="34" bestFit="1" customWidth="1"/>
    <col min="2831" max="2831" width="17.75" style="34" customWidth="1"/>
    <col min="2832" max="2832" width="8.125" style="34" customWidth="1"/>
    <col min="2833" max="2833" width="18.625" style="34" customWidth="1"/>
    <col min="2834" max="2834" width="7.5" style="34" customWidth="1"/>
    <col min="2835" max="2835" width="19.125" style="34" customWidth="1"/>
    <col min="2836" max="2836" width="6.875" style="34" customWidth="1"/>
    <col min="2837" max="2837" width="17.625" style="34" customWidth="1"/>
    <col min="2838" max="2838" width="9" style="34"/>
    <col min="2839" max="2839" width="17.375" style="34" customWidth="1"/>
    <col min="2840" max="2840" width="9" style="34"/>
    <col min="2841" max="2841" width="21" style="34" customWidth="1"/>
    <col min="2842" max="2842" width="9" style="34"/>
    <col min="2843" max="2843" width="11.375" style="34" customWidth="1"/>
    <col min="2844" max="3085" width="9" style="34"/>
    <col min="3086" max="3086" width="61.875" style="34" bestFit="1" customWidth="1"/>
    <col min="3087" max="3087" width="17.75" style="34" customWidth="1"/>
    <col min="3088" max="3088" width="8.125" style="34" customWidth="1"/>
    <col min="3089" max="3089" width="18.625" style="34" customWidth="1"/>
    <col min="3090" max="3090" width="7.5" style="34" customWidth="1"/>
    <col min="3091" max="3091" width="19.125" style="34" customWidth="1"/>
    <col min="3092" max="3092" width="6.875" style="34" customWidth="1"/>
    <col min="3093" max="3093" width="17.625" style="34" customWidth="1"/>
    <col min="3094" max="3094" width="9" style="34"/>
    <col min="3095" max="3095" width="17.375" style="34" customWidth="1"/>
    <col min="3096" max="3096" width="9" style="34"/>
    <col min="3097" max="3097" width="21" style="34" customWidth="1"/>
    <col min="3098" max="3098" width="9" style="34"/>
    <col min="3099" max="3099" width="11.375" style="34" customWidth="1"/>
    <col min="3100" max="3341" width="9" style="34"/>
    <col min="3342" max="3342" width="61.875" style="34" bestFit="1" customWidth="1"/>
    <col min="3343" max="3343" width="17.75" style="34" customWidth="1"/>
    <col min="3344" max="3344" width="8.125" style="34" customWidth="1"/>
    <col min="3345" max="3345" width="18.625" style="34" customWidth="1"/>
    <col min="3346" max="3346" width="7.5" style="34" customWidth="1"/>
    <col min="3347" max="3347" width="19.125" style="34" customWidth="1"/>
    <col min="3348" max="3348" width="6.875" style="34" customWidth="1"/>
    <col min="3349" max="3349" width="17.625" style="34" customWidth="1"/>
    <col min="3350" max="3350" width="9" style="34"/>
    <col min="3351" max="3351" width="17.375" style="34" customWidth="1"/>
    <col min="3352" max="3352" width="9" style="34"/>
    <col min="3353" max="3353" width="21" style="34" customWidth="1"/>
    <col min="3354" max="3354" width="9" style="34"/>
    <col min="3355" max="3355" width="11.375" style="34" customWidth="1"/>
    <col min="3356" max="3597" width="9" style="34"/>
    <col min="3598" max="3598" width="61.875" style="34" bestFit="1" customWidth="1"/>
    <col min="3599" max="3599" width="17.75" style="34" customWidth="1"/>
    <col min="3600" max="3600" width="8.125" style="34" customWidth="1"/>
    <col min="3601" max="3601" width="18.625" style="34" customWidth="1"/>
    <col min="3602" max="3602" width="7.5" style="34" customWidth="1"/>
    <col min="3603" max="3603" width="19.125" style="34" customWidth="1"/>
    <col min="3604" max="3604" width="6.875" style="34" customWidth="1"/>
    <col min="3605" max="3605" width="17.625" style="34" customWidth="1"/>
    <col min="3606" max="3606" width="9" style="34"/>
    <col min="3607" max="3607" width="17.375" style="34" customWidth="1"/>
    <col min="3608" max="3608" width="9" style="34"/>
    <col min="3609" max="3609" width="21" style="34" customWidth="1"/>
    <col min="3610" max="3610" width="9" style="34"/>
    <col min="3611" max="3611" width="11.375" style="34" customWidth="1"/>
    <col min="3612" max="3853" width="9" style="34"/>
    <col min="3854" max="3854" width="61.875" style="34" bestFit="1" customWidth="1"/>
    <col min="3855" max="3855" width="17.75" style="34" customWidth="1"/>
    <col min="3856" max="3856" width="8.125" style="34" customWidth="1"/>
    <col min="3857" max="3857" width="18.625" style="34" customWidth="1"/>
    <col min="3858" max="3858" width="7.5" style="34" customWidth="1"/>
    <col min="3859" max="3859" width="19.125" style="34" customWidth="1"/>
    <col min="3860" max="3860" width="6.875" style="34" customWidth="1"/>
    <col min="3861" max="3861" width="17.625" style="34" customWidth="1"/>
    <col min="3862" max="3862" width="9" style="34"/>
    <col min="3863" max="3863" width="17.375" style="34" customWidth="1"/>
    <col min="3864" max="3864" width="9" style="34"/>
    <col min="3865" max="3865" width="21" style="34" customWidth="1"/>
    <col min="3866" max="3866" width="9" style="34"/>
    <col min="3867" max="3867" width="11.375" style="34" customWidth="1"/>
    <col min="3868" max="4109" width="9" style="34"/>
    <col min="4110" max="4110" width="61.875" style="34" bestFit="1" customWidth="1"/>
    <col min="4111" max="4111" width="17.75" style="34" customWidth="1"/>
    <col min="4112" max="4112" width="8.125" style="34" customWidth="1"/>
    <col min="4113" max="4113" width="18.625" style="34" customWidth="1"/>
    <col min="4114" max="4114" width="7.5" style="34" customWidth="1"/>
    <col min="4115" max="4115" width="19.125" style="34" customWidth="1"/>
    <col min="4116" max="4116" width="6.875" style="34" customWidth="1"/>
    <col min="4117" max="4117" width="17.625" style="34" customWidth="1"/>
    <col min="4118" max="4118" width="9" style="34"/>
    <col min="4119" max="4119" width="17.375" style="34" customWidth="1"/>
    <col min="4120" max="4120" width="9" style="34"/>
    <col min="4121" max="4121" width="21" style="34" customWidth="1"/>
    <col min="4122" max="4122" width="9" style="34"/>
    <col min="4123" max="4123" width="11.375" style="34" customWidth="1"/>
    <col min="4124" max="4365" width="9" style="34"/>
    <col min="4366" max="4366" width="61.875" style="34" bestFit="1" customWidth="1"/>
    <col min="4367" max="4367" width="17.75" style="34" customWidth="1"/>
    <col min="4368" max="4368" width="8.125" style="34" customWidth="1"/>
    <col min="4369" max="4369" width="18.625" style="34" customWidth="1"/>
    <col min="4370" max="4370" width="7.5" style="34" customWidth="1"/>
    <col min="4371" max="4371" width="19.125" style="34" customWidth="1"/>
    <col min="4372" max="4372" width="6.875" style="34" customWidth="1"/>
    <col min="4373" max="4373" width="17.625" style="34" customWidth="1"/>
    <col min="4374" max="4374" width="9" style="34"/>
    <col min="4375" max="4375" width="17.375" style="34" customWidth="1"/>
    <col min="4376" max="4376" width="9" style="34"/>
    <col min="4377" max="4377" width="21" style="34" customWidth="1"/>
    <col min="4378" max="4378" width="9" style="34"/>
    <col min="4379" max="4379" width="11.375" style="34" customWidth="1"/>
    <col min="4380" max="4621" width="9" style="34"/>
    <col min="4622" max="4622" width="61.875" style="34" bestFit="1" customWidth="1"/>
    <col min="4623" max="4623" width="17.75" style="34" customWidth="1"/>
    <col min="4624" max="4624" width="8.125" style="34" customWidth="1"/>
    <col min="4625" max="4625" width="18.625" style="34" customWidth="1"/>
    <col min="4626" max="4626" width="7.5" style="34" customWidth="1"/>
    <col min="4627" max="4627" width="19.125" style="34" customWidth="1"/>
    <col min="4628" max="4628" width="6.875" style="34" customWidth="1"/>
    <col min="4629" max="4629" width="17.625" style="34" customWidth="1"/>
    <col min="4630" max="4630" width="9" style="34"/>
    <col min="4631" max="4631" width="17.375" style="34" customWidth="1"/>
    <col min="4632" max="4632" width="9" style="34"/>
    <col min="4633" max="4633" width="21" style="34" customWidth="1"/>
    <col min="4634" max="4634" width="9" style="34"/>
    <col min="4635" max="4635" width="11.375" style="34" customWidth="1"/>
    <col min="4636" max="4877" width="9" style="34"/>
    <col min="4878" max="4878" width="61.875" style="34" bestFit="1" customWidth="1"/>
    <col min="4879" max="4879" width="17.75" style="34" customWidth="1"/>
    <col min="4880" max="4880" width="8.125" style="34" customWidth="1"/>
    <col min="4881" max="4881" width="18.625" style="34" customWidth="1"/>
    <col min="4882" max="4882" width="7.5" style="34" customWidth="1"/>
    <col min="4883" max="4883" width="19.125" style="34" customWidth="1"/>
    <col min="4884" max="4884" width="6.875" style="34" customWidth="1"/>
    <col min="4885" max="4885" width="17.625" style="34" customWidth="1"/>
    <col min="4886" max="4886" width="9" style="34"/>
    <col min="4887" max="4887" width="17.375" style="34" customWidth="1"/>
    <col min="4888" max="4888" width="9" style="34"/>
    <col min="4889" max="4889" width="21" style="34" customWidth="1"/>
    <col min="4890" max="4890" width="9" style="34"/>
    <col min="4891" max="4891" width="11.375" style="34" customWidth="1"/>
    <col min="4892" max="5133" width="9" style="34"/>
    <col min="5134" max="5134" width="61.875" style="34" bestFit="1" customWidth="1"/>
    <col min="5135" max="5135" width="17.75" style="34" customWidth="1"/>
    <col min="5136" max="5136" width="8.125" style="34" customWidth="1"/>
    <col min="5137" max="5137" width="18.625" style="34" customWidth="1"/>
    <col min="5138" max="5138" width="7.5" style="34" customWidth="1"/>
    <col min="5139" max="5139" width="19.125" style="34" customWidth="1"/>
    <col min="5140" max="5140" width="6.875" style="34" customWidth="1"/>
    <col min="5141" max="5141" width="17.625" style="34" customWidth="1"/>
    <col min="5142" max="5142" width="9" style="34"/>
    <col min="5143" max="5143" width="17.375" style="34" customWidth="1"/>
    <col min="5144" max="5144" width="9" style="34"/>
    <col min="5145" max="5145" width="21" style="34" customWidth="1"/>
    <col min="5146" max="5146" width="9" style="34"/>
    <col min="5147" max="5147" width="11.375" style="34" customWidth="1"/>
    <col min="5148" max="5389" width="9" style="34"/>
    <col min="5390" max="5390" width="61.875" style="34" bestFit="1" customWidth="1"/>
    <col min="5391" max="5391" width="17.75" style="34" customWidth="1"/>
    <col min="5392" max="5392" width="8.125" style="34" customWidth="1"/>
    <col min="5393" max="5393" width="18.625" style="34" customWidth="1"/>
    <col min="5394" max="5394" width="7.5" style="34" customWidth="1"/>
    <col min="5395" max="5395" width="19.125" style="34" customWidth="1"/>
    <col min="5396" max="5396" width="6.875" style="34" customWidth="1"/>
    <col min="5397" max="5397" width="17.625" style="34" customWidth="1"/>
    <col min="5398" max="5398" width="9" style="34"/>
    <col min="5399" max="5399" width="17.375" style="34" customWidth="1"/>
    <col min="5400" max="5400" width="9" style="34"/>
    <col min="5401" max="5401" width="21" style="34" customWidth="1"/>
    <col min="5402" max="5402" width="9" style="34"/>
    <col min="5403" max="5403" width="11.375" style="34" customWidth="1"/>
    <col min="5404" max="5645" width="9" style="34"/>
    <col min="5646" max="5646" width="61.875" style="34" bestFit="1" customWidth="1"/>
    <col min="5647" max="5647" width="17.75" style="34" customWidth="1"/>
    <col min="5648" max="5648" width="8.125" style="34" customWidth="1"/>
    <col min="5649" max="5649" width="18.625" style="34" customWidth="1"/>
    <col min="5650" max="5650" width="7.5" style="34" customWidth="1"/>
    <col min="5651" max="5651" width="19.125" style="34" customWidth="1"/>
    <col min="5652" max="5652" width="6.875" style="34" customWidth="1"/>
    <col min="5653" max="5653" width="17.625" style="34" customWidth="1"/>
    <col min="5654" max="5654" width="9" style="34"/>
    <col min="5655" max="5655" width="17.375" style="34" customWidth="1"/>
    <col min="5656" max="5656" width="9" style="34"/>
    <col min="5657" max="5657" width="21" style="34" customWidth="1"/>
    <col min="5658" max="5658" width="9" style="34"/>
    <col min="5659" max="5659" width="11.375" style="34" customWidth="1"/>
    <col min="5660" max="5901" width="9" style="34"/>
    <col min="5902" max="5902" width="61.875" style="34" bestFit="1" customWidth="1"/>
    <col min="5903" max="5903" width="17.75" style="34" customWidth="1"/>
    <col min="5904" max="5904" width="8.125" style="34" customWidth="1"/>
    <col min="5905" max="5905" width="18.625" style="34" customWidth="1"/>
    <col min="5906" max="5906" width="7.5" style="34" customWidth="1"/>
    <col min="5907" max="5907" width="19.125" style="34" customWidth="1"/>
    <col min="5908" max="5908" width="6.875" style="34" customWidth="1"/>
    <col min="5909" max="5909" width="17.625" style="34" customWidth="1"/>
    <col min="5910" max="5910" width="9" style="34"/>
    <col min="5911" max="5911" width="17.375" style="34" customWidth="1"/>
    <col min="5912" max="5912" width="9" style="34"/>
    <col min="5913" max="5913" width="21" style="34" customWidth="1"/>
    <col min="5914" max="5914" width="9" style="34"/>
    <col min="5915" max="5915" width="11.375" style="34" customWidth="1"/>
    <col min="5916" max="6157" width="9" style="34"/>
    <col min="6158" max="6158" width="61.875" style="34" bestFit="1" customWidth="1"/>
    <col min="6159" max="6159" width="17.75" style="34" customWidth="1"/>
    <col min="6160" max="6160" width="8.125" style="34" customWidth="1"/>
    <col min="6161" max="6161" width="18.625" style="34" customWidth="1"/>
    <col min="6162" max="6162" width="7.5" style="34" customWidth="1"/>
    <col min="6163" max="6163" width="19.125" style="34" customWidth="1"/>
    <col min="6164" max="6164" width="6.875" style="34" customWidth="1"/>
    <col min="6165" max="6165" width="17.625" style="34" customWidth="1"/>
    <col min="6166" max="6166" width="9" style="34"/>
    <col min="6167" max="6167" width="17.375" style="34" customWidth="1"/>
    <col min="6168" max="6168" width="9" style="34"/>
    <col min="6169" max="6169" width="21" style="34" customWidth="1"/>
    <col min="6170" max="6170" width="9" style="34"/>
    <col min="6171" max="6171" width="11.375" style="34" customWidth="1"/>
    <col min="6172" max="6413" width="9" style="34"/>
    <col min="6414" max="6414" width="61.875" style="34" bestFit="1" customWidth="1"/>
    <col min="6415" max="6415" width="17.75" style="34" customWidth="1"/>
    <col min="6416" max="6416" width="8.125" style="34" customWidth="1"/>
    <col min="6417" max="6417" width="18.625" style="34" customWidth="1"/>
    <col min="6418" max="6418" width="7.5" style="34" customWidth="1"/>
    <col min="6419" max="6419" width="19.125" style="34" customWidth="1"/>
    <col min="6420" max="6420" width="6.875" style="34" customWidth="1"/>
    <col min="6421" max="6421" width="17.625" style="34" customWidth="1"/>
    <col min="6422" max="6422" width="9" style="34"/>
    <col min="6423" max="6423" width="17.375" style="34" customWidth="1"/>
    <col min="6424" max="6424" width="9" style="34"/>
    <col min="6425" max="6425" width="21" style="34" customWidth="1"/>
    <col min="6426" max="6426" width="9" style="34"/>
    <col min="6427" max="6427" width="11.375" style="34" customWidth="1"/>
    <col min="6428" max="6669" width="9" style="34"/>
    <col min="6670" max="6670" width="61.875" style="34" bestFit="1" customWidth="1"/>
    <col min="6671" max="6671" width="17.75" style="34" customWidth="1"/>
    <col min="6672" max="6672" width="8.125" style="34" customWidth="1"/>
    <col min="6673" max="6673" width="18.625" style="34" customWidth="1"/>
    <col min="6674" max="6674" width="7.5" style="34" customWidth="1"/>
    <col min="6675" max="6675" width="19.125" style="34" customWidth="1"/>
    <col min="6676" max="6676" width="6.875" style="34" customWidth="1"/>
    <col min="6677" max="6677" width="17.625" style="34" customWidth="1"/>
    <col min="6678" max="6678" width="9" style="34"/>
    <col min="6679" max="6679" width="17.375" style="34" customWidth="1"/>
    <col min="6680" max="6680" width="9" style="34"/>
    <col min="6681" max="6681" width="21" style="34" customWidth="1"/>
    <col min="6682" max="6682" width="9" style="34"/>
    <col min="6683" max="6683" width="11.375" style="34" customWidth="1"/>
    <col min="6684" max="6925" width="9" style="34"/>
    <col min="6926" max="6926" width="61.875" style="34" bestFit="1" customWidth="1"/>
    <col min="6927" max="6927" width="17.75" style="34" customWidth="1"/>
    <col min="6928" max="6928" width="8.125" style="34" customWidth="1"/>
    <col min="6929" max="6929" width="18.625" style="34" customWidth="1"/>
    <col min="6930" max="6930" width="7.5" style="34" customWidth="1"/>
    <col min="6931" max="6931" width="19.125" style="34" customWidth="1"/>
    <col min="6932" max="6932" width="6.875" style="34" customWidth="1"/>
    <col min="6933" max="6933" width="17.625" style="34" customWidth="1"/>
    <col min="6934" max="6934" width="9" style="34"/>
    <col min="6935" max="6935" width="17.375" style="34" customWidth="1"/>
    <col min="6936" max="6936" width="9" style="34"/>
    <col min="6937" max="6937" width="21" style="34" customWidth="1"/>
    <col min="6938" max="6938" width="9" style="34"/>
    <col min="6939" max="6939" width="11.375" style="34" customWidth="1"/>
    <col min="6940" max="7181" width="9" style="34"/>
    <col min="7182" max="7182" width="61.875" style="34" bestFit="1" customWidth="1"/>
    <col min="7183" max="7183" width="17.75" style="34" customWidth="1"/>
    <col min="7184" max="7184" width="8.125" style="34" customWidth="1"/>
    <col min="7185" max="7185" width="18.625" style="34" customWidth="1"/>
    <col min="7186" max="7186" width="7.5" style="34" customWidth="1"/>
    <col min="7187" max="7187" width="19.125" style="34" customWidth="1"/>
    <col min="7188" max="7188" width="6.875" style="34" customWidth="1"/>
    <col min="7189" max="7189" width="17.625" style="34" customWidth="1"/>
    <col min="7190" max="7190" width="9" style="34"/>
    <col min="7191" max="7191" width="17.375" style="34" customWidth="1"/>
    <col min="7192" max="7192" width="9" style="34"/>
    <col min="7193" max="7193" width="21" style="34" customWidth="1"/>
    <col min="7194" max="7194" width="9" style="34"/>
    <col min="7195" max="7195" width="11.375" style="34" customWidth="1"/>
    <col min="7196" max="7437" width="9" style="34"/>
    <col min="7438" max="7438" width="61.875" style="34" bestFit="1" customWidth="1"/>
    <col min="7439" max="7439" width="17.75" style="34" customWidth="1"/>
    <col min="7440" max="7440" width="8.125" style="34" customWidth="1"/>
    <col min="7441" max="7441" width="18.625" style="34" customWidth="1"/>
    <col min="7442" max="7442" width="7.5" style="34" customWidth="1"/>
    <col min="7443" max="7443" width="19.125" style="34" customWidth="1"/>
    <col min="7444" max="7444" width="6.875" style="34" customWidth="1"/>
    <col min="7445" max="7445" width="17.625" style="34" customWidth="1"/>
    <col min="7446" max="7446" width="9" style="34"/>
    <col min="7447" max="7447" width="17.375" style="34" customWidth="1"/>
    <col min="7448" max="7448" width="9" style="34"/>
    <col min="7449" max="7449" width="21" style="34" customWidth="1"/>
    <col min="7450" max="7450" width="9" style="34"/>
    <col min="7451" max="7451" width="11.375" style="34" customWidth="1"/>
    <col min="7452" max="7693" width="9" style="34"/>
    <col min="7694" max="7694" width="61.875" style="34" bestFit="1" customWidth="1"/>
    <col min="7695" max="7695" width="17.75" style="34" customWidth="1"/>
    <col min="7696" max="7696" width="8.125" style="34" customWidth="1"/>
    <col min="7697" max="7697" width="18.625" style="34" customWidth="1"/>
    <col min="7698" max="7698" width="7.5" style="34" customWidth="1"/>
    <col min="7699" max="7699" width="19.125" style="34" customWidth="1"/>
    <col min="7700" max="7700" width="6.875" style="34" customWidth="1"/>
    <col min="7701" max="7701" width="17.625" style="34" customWidth="1"/>
    <col min="7702" max="7702" width="9" style="34"/>
    <col min="7703" max="7703" width="17.375" style="34" customWidth="1"/>
    <col min="7704" max="7704" width="9" style="34"/>
    <col min="7705" max="7705" width="21" style="34" customWidth="1"/>
    <col min="7706" max="7706" width="9" style="34"/>
    <col min="7707" max="7707" width="11.375" style="34" customWidth="1"/>
    <col min="7708" max="7949" width="9" style="34"/>
    <col min="7950" max="7950" width="61.875" style="34" bestFit="1" customWidth="1"/>
    <col min="7951" max="7951" width="17.75" style="34" customWidth="1"/>
    <col min="7952" max="7952" width="8.125" style="34" customWidth="1"/>
    <col min="7953" max="7953" width="18.625" style="34" customWidth="1"/>
    <col min="7954" max="7954" width="7.5" style="34" customWidth="1"/>
    <col min="7955" max="7955" width="19.125" style="34" customWidth="1"/>
    <col min="7956" max="7956" width="6.875" style="34" customWidth="1"/>
    <col min="7957" max="7957" width="17.625" style="34" customWidth="1"/>
    <col min="7958" max="7958" width="9" style="34"/>
    <col min="7959" max="7959" width="17.375" style="34" customWidth="1"/>
    <col min="7960" max="7960" width="9" style="34"/>
    <col min="7961" max="7961" width="21" style="34" customWidth="1"/>
    <col min="7962" max="7962" width="9" style="34"/>
    <col min="7963" max="7963" width="11.375" style="34" customWidth="1"/>
    <col min="7964" max="8205" width="9" style="34"/>
    <col min="8206" max="8206" width="61.875" style="34" bestFit="1" customWidth="1"/>
    <col min="8207" max="8207" width="17.75" style="34" customWidth="1"/>
    <col min="8208" max="8208" width="8.125" style="34" customWidth="1"/>
    <col min="8209" max="8209" width="18.625" style="34" customWidth="1"/>
    <col min="8210" max="8210" width="7.5" style="34" customWidth="1"/>
    <col min="8211" max="8211" width="19.125" style="34" customWidth="1"/>
    <col min="8212" max="8212" width="6.875" style="34" customWidth="1"/>
    <col min="8213" max="8213" width="17.625" style="34" customWidth="1"/>
    <col min="8214" max="8214" width="9" style="34"/>
    <col min="8215" max="8215" width="17.375" style="34" customWidth="1"/>
    <col min="8216" max="8216" width="9" style="34"/>
    <col min="8217" max="8217" width="21" style="34" customWidth="1"/>
    <col min="8218" max="8218" width="9" style="34"/>
    <col min="8219" max="8219" width="11.375" style="34" customWidth="1"/>
    <col min="8220" max="8461" width="9" style="34"/>
    <col min="8462" max="8462" width="61.875" style="34" bestFit="1" customWidth="1"/>
    <col min="8463" max="8463" width="17.75" style="34" customWidth="1"/>
    <col min="8464" max="8464" width="8.125" style="34" customWidth="1"/>
    <col min="8465" max="8465" width="18.625" style="34" customWidth="1"/>
    <col min="8466" max="8466" width="7.5" style="34" customWidth="1"/>
    <col min="8467" max="8467" width="19.125" style="34" customWidth="1"/>
    <col min="8468" max="8468" width="6.875" style="34" customWidth="1"/>
    <col min="8469" max="8469" width="17.625" style="34" customWidth="1"/>
    <col min="8470" max="8470" width="9" style="34"/>
    <col min="8471" max="8471" width="17.375" style="34" customWidth="1"/>
    <col min="8472" max="8472" width="9" style="34"/>
    <col min="8473" max="8473" width="21" style="34" customWidth="1"/>
    <col min="8474" max="8474" width="9" style="34"/>
    <col min="8475" max="8475" width="11.375" style="34" customWidth="1"/>
    <col min="8476" max="8717" width="9" style="34"/>
    <col min="8718" max="8718" width="61.875" style="34" bestFit="1" customWidth="1"/>
    <col min="8719" max="8719" width="17.75" style="34" customWidth="1"/>
    <col min="8720" max="8720" width="8.125" style="34" customWidth="1"/>
    <col min="8721" max="8721" width="18.625" style="34" customWidth="1"/>
    <col min="8722" max="8722" width="7.5" style="34" customWidth="1"/>
    <col min="8723" max="8723" width="19.125" style="34" customWidth="1"/>
    <col min="8724" max="8724" width="6.875" style="34" customWidth="1"/>
    <col min="8725" max="8725" width="17.625" style="34" customWidth="1"/>
    <col min="8726" max="8726" width="9" style="34"/>
    <col min="8727" max="8727" width="17.375" style="34" customWidth="1"/>
    <col min="8728" max="8728" width="9" style="34"/>
    <col min="8729" max="8729" width="21" style="34" customWidth="1"/>
    <col min="8730" max="8730" width="9" style="34"/>
    <col min="8731" max="8731" width="11.375" style="34" customWidth="1"/>
    <col min="8732" max="8973" width="9" style="34"/>
    <col min="8974" max="8974" width="61.875" style="34" bestFit="1" customWidth="1"/>
    <col min="8975" max="8975" width="17.75" style="34" customWidth="1"/>
    <col min="8976" max="8976" width="8.125" style="34" customWidth="1"/>
    <col min="8977" max="8977" width="18.625" style="34" customWidth="1"/>
    <col min="8978" max="8978" width="7.5" style="34" customWidth="1"/>
    <col min="8979" max="8979" width="19.125" style="34" customWidth="1"/>
    <col min="8980" max="8980" width="6.875" style="34" customWidth="1"/>
    <col min="8981" max="8981" width="17.625" style="34" customWidth="1"/>
    <col min="8982" max="8982" width="9" style="34"/>
    <col min="8983" max="8983" width="17.375" style="34" customWidth="1"/>
    <col min="8984" max="8984" width="9" style="34"/>
    <col min="8985" max="8985" width="21" style="34" customWidth="1"/>
    <col min="8986" max="8986" width="9" style="34"/>
    <col min="8987" max="8987" width="11.375" style="34" customWidth="1"/>
    <col min="8988" max="9229" width="9" style="34"/>
    <col min="9230" max="9230" width="61.875" style="34" bestFit="1" customWidth="1"/>
    <col min="9231" max="9231" width="17.75" style="34" customWidth="1"/>
    <col min="9232" max="9232" width="8.125" style="34" customWidth="1"/>
    <col min="9233" max="9233" width="18.625" style="34" customWidth="1"/>
    <col min="9234" max="9234" width="7.5" style="34" customWidth="1"/>
    <col min="9235" max="9235" width="19.125" style="34" customWidth="1"/>
    <col min="9236" max="9236" width="6.875" style="34" customWidth="1"/>
    <col min="9237" max="9237" width="17.625" style="34" customWidth="1"/>
    <col min="9238" max="9238" width="9" style="34"/>
    <col min="9239" max="9239" width="17.375" style="34" customWidth="1"/>
    <col min="9240" max="9240" width="9" style="34"/>
    <col min="9241" max="9241" width="21" style="34" customWidth="1"/>
    <col min="9242" max="9242" width="9" style="34"/>
    <col min="9243" max="9243" width="11.375" style="34" customWidth="1"/>
    <col min="9244" max="9485" width="9" style="34"/>
    <col min="9486" max="9486" width="61.875" style="34" bestFit="1" customWidth="1"/>
    <col min="9487" max="9487" width="17.75" style="34" customWidth="1"/>
    <col min="9488" max="9488" width="8.125" style="34" customWidth="1"/>
    <col min="9489" max="9489" width="18.625" style="34" customWidth="1"/>
    <col min="9490" max="9490" width="7.5" style="34" customWidth="1"/>
    <col min="9491" max="9491" width="19.125" style="34" customWidth="1"/>
    <col min="9492" max="9492" width="6.875" style="34" customWidth="1"/>
    <col min="9493" max="9493" width="17.625" style="34" customWidth="1"/>
    <col min="9494" max="9494" width="9" style="34"/>
    <col min="9495" max="9495" width="17.375" style="34" customWidth="1"/>
    <col min="9496" max="9496" width="9" style="34"/>
    <col min="9497" max="9497" width="21" style="34" customWidth="1"/>
    <col min="9498" max="9498" width="9" style="34"/>
    <col min="9499" max="9499" width="11.375" style="34" customWidth="1"/>
    <col min="9500" max="9741" width="9" style="34"/>
    <col min="9742" max="9742" width="61.875" style="34" bestFit="1" customWidth="1"/>
    <col min="9743" max="9743" width="17.75" style="34" customWidth="1"/>
    <col min="9744" max="9744" width="8.125" style="34" customWidth="1"/>
    <col min="9745" max="9745" width="18.625" style="34" customWidth="1"/>
    <col min="9746" max="9746" width="7.5" style="34" customWidth="1"/>
    <col min="9747" max="9747" width="19.125" style="34" customWidth="1"/>
    <col min="9748" max="9748" width="6.875" style="34" customWidth="1"/>
    <col min="9749" max="9749" width="17.625" style="34" customWidth="1"/>
    <col min="9750" max="9750" width="9" style="34"/>
    <col min="9751" max="9751" width="17.375" style="34" customWidth="1"/>
    <col min="9752" max="9752" width="9" style="34"/>
    <col min="9753" max="9753" width="21" style="34" customWidth="1"/>
    <col min="9754" max="9754" width="9" style="34"/>
    <col min="9755" max="9755" width="11.375" style="34" customWidth="1"/>
    <col min="9756" max="9997" width="9" style="34"/>
    <col min="9998" max="9998" width="61.875" style="34" bestFit="1" customWidth="1"/>
    <col min="9999" max="9999" width="17.75" style="34" customWidth="1"/>
    <col min="10000" max="10000" width="8.125" style="34" customWidth="1"/>
    <col min="10001" max="10001" width="18.625" style="34" customWidth="1"/>
    <col min="10002" max="10002" width="7.5" style="34" customWidth="1"/>
    <col min="10003" max="10003" width="19.125" style="34" customWidth="1"/>
    <col min="10004" max="10004" width="6.875" style="34" customWidth="1"/>
    <col min="10005" max="10005" width="17.625" style="34" customWidth="1"/>
    <col min="10006" max="10006" width="9" style="34"/>
    <col min="10007" max="10007" width="17.375" style="34" customWidth="1"/>
    <col min="10008" max="10008" width="9" style="34"/>
    <col min="10009" max="10009" width="21" style="34" customWidth="1"/>
    <col min="10010" max="10010" width="9" style="34"/>
    <col min="10011" max="10011" width="11.375" style="34" customWidth="1"/>
    <col min="10012" max="10253" width="9" style="34"/>
    <col min="10254" max="10254" width="61.875" style="34" bestFit="1" customWidth="1"/>
    <col min="10255" max="10255" width="17.75" style="34" customWidth="1"/>
    <col min="10256" max="10256" width="8.125" style="34" customWidth="1"/>
    <col min="10257" max="10257" width="18.625" style="34" customWidth="1"/>
    <col min="10258" max="10258" width="7.5" style="34" customWidth="1"/>
    <col min="10259" max="10259" width="19.125" style="34" customWidth="1"/>
    <col min="10260" max="10260" width="6.875" style="34" customWidth="1"/>
    <col min="10261" max="10261" width="17.625" style="34" customWidth="1"/>
    <col min="10262" max="10262" width="9" style="34"/>
    <col min="10263" max="10263" width="17.375" style="34" customWidth="1"/>
    <col min="10264" max="10264" width="9" style="34"/>
    <col min="10265" max="10265" width="21" style="34" customWidth="1"/>
    <col min="10266" max="10266" width="9" style="34"/>
    <col min="10267" max="10267" width="11.375" style="34" customWidth="1"/>
    <col min="10268" max="10509" width="9" style="34"/>
    <col min="10510" max="10510" width="61.875" style="34" bestFit="1" customWidth="1"/>
    <col min="10511" max="10511" width="17.75" style="34" customWidth="1"/>
    <col min="10512" max="10512" width="8.125" style="34" customWidth="1"/>
    <col min="10513" max="10513" width="18.625" style="34" customWidth="1"/>
    <col min="10514" max="10514" width="7.5" style="34" customWidth="1"/>
    <col min="10515" max="10515" width="19.125" style="34" customWidth="1"/>
    <col min="10516" max="10516" width="6.875" style="34" customWidth="1"/>
    <col min="10517" max="10517" width="17.625" style="34" customWidth="1"/>
    <col min="10518" max="10518" width="9" style="34"/>
    <col min="10519" max="10519" width="17.375" style="34" customWidth="1"/>
    <col min="10520" max="10520" width="9" style="34"/>
    <col min="10521" max="10521" width="21" style="34" customWidth="1"/>
    <col min="10522" max="10522" width="9" style="34"/>
    <col min="10523" max="10523" width="11.375" style="34" customWidth="1"/>
    <col min="10524" max="10765" width="9" style="34"/>
    <col min="10766" max="10766" width="61.875" style="34" bestFit="1" customWidth="1"/>
    <col min="10767" max="10767" width="17.75" style="34" customWidth="1"/>
    <col min="10768" max="10768" width="8.125" style="34" customWidth="1"/>
    <col min="10769" max="10769" width="18.625" style="34" customWidth="1"/>
    <col min="10770" max="10770" width="7.5" style="34" customWidth="1"/>
    <col min="10771" max="10771" width="19.125" style="34" customWidth="1"/>
    <col min="10772" max="10772" width="6.875" style="34" customWidth="1"/>
    <col min="10773" max="10773" width="17.625" style="34" customWidth="1"/>
    <col min="10774" max="10774" width="9" style="34"/>
    <col min="10775" max="10775" width="17.375" style="34" customWidth="1"/>
    <col min="10776" max="10776" width="9" style="34"/>
    <col min="10777" max="10777" width="21" style="34" customWidth="1"/>
    <col min="10778" max="10778" width="9" style="34"/>
    <col min="10779" max="10779" width="11.375" style="34" customWidth="1"/>
    <col min="10780" max="11021" width="9" style="34"/>
    <col min="11022" max="11022" width="61.875" style="34" bestFit="1" customWidth="1"/>
    <col min="11023" max="11023" width="17.75" style="34" customWidth="1"/>
    <col min="11024" max="11024" width="8.125" style="34" customWidth="1"/>
    <col min="11025" max="11025" width="18.625" style="34" customWidth="1"/>
    <col min="11026" max="11026" width="7.5" style="34" customWidth="1"/>
    <col min="11027" max="11027" width="19.125" style="34" customWidth="1"/>
    <col min="11028" max="11028" width="6.875" style="34" customWidth="1"/>
    <col min="11029" max="11029" width="17.625" style="34" customWidth="1"/>
    <col min="11030" max="11030" width="9" style="34"/>
    <col min="11031" max="11031" width="17.375" style="34" customWidth="1"/>
    <col min="11032" max="11032" width="9" style="34"/>
    <col min="11033" max="11033" width="21" style="34" customWidth="1"/>
    <col min="11034" max="11034" width="9" style="34"/>
    <col min="11035" max="11035" width="11.375" style="34" customWidth="1"/>
    <col min="11036" max="11277" width="9" style="34"/>
    <col min="11278" max="11278" width="61.875" style="34" bestFit="1" customWidth="1"/>
    <col min="11279" max="11279" width="17.75" style="34" customWidth="1"/>
    <col min="11280" max="11280" width="8.125" style="34" customWidth="1"/>
    <col min="11281" max="11281" width="18.625" style="34" customWidth="1"/>
    <col min="11282" max="11282" width="7.5" style="34" customWidth="1"/>
    <col min="11283" max="11283" width="19.125" style="34" customWidth="1"/>
    <col min="11284" max="11284" width="6.875" style="34" customWidth="1"/>
    <col min="11285" max="11285" width="17.625" style="34" customWidth="1"/>
    <col min="11286" max="11286" width="9" style="34"/>
    <col min="11287" max="11287" width="17.375" style="34" customWidth="1"/>
    <col min="11288" max="11288" width="9" style="34"/>
    <col min="11289" max="11289" width="21" style="34" customWidth="1"/>
    <col min="11290" max="11290" width="9" style="34"/>
    <col min="11291" max="11291" width="11.375" style="34" customWidth="1"/>
    <col min="11292" max="11533" width="9" style="34"/>
    <col min="11534" max="11534" width="61.875" style="34" bestFit="1" customWidth="1"/>
    <col min="11535" max="11535" width="17.75" style="34" customWidth="1"/>
    <col min="11536" max="11536" width="8.125" style="34" customWidth="1"/>
    <col min="11537" max="11537" width="18.625" style="34" customWidth="1"/>
    <col min="11538" max="11538" width="7.5" style="34" customWidth="1"/>
    <col min="11539" max="11539" width="19.125" style="34" customWidth="1"/>
    <col min="11540" max="11540" width="6.875" style="34" customWidth="1"/>
    <col min="11541" max="11541" width="17.625" style="34" customWidth="1"/>
    <col min="11542" max="11542" width="9" style="34"/>
    <col min="11543" max="11543" width="17.375" style="34" customWidth="1"/>
    <col min="11544" max="11544" width="9" style="34"/>
    <col min="11545" max="11545" width="21" style="34" customWidth="1"/>
    <col min="11546" max="11546" width="9" style="34"/>
    <col min="11547" max="11547" width="11.375" style="34" customWidth="1"/>
    <col min="11548" max="11789" width="9" style="34"/>
    <col min="11790" max="11790" width="61.875" style="34" bestFit="1" customWidth="1"/>
    <col min="11791" max="11791" width="17.75" style="34" customWidth="1"/>
    <col min="11792" max="11792" width="8.125" style="34" customWidth="1"/>
    <col min="11793" max="11793" width="18.625" style="34" customWidth="1"/>
    <col min="11794" max="11794" width="7.5" style="34" customWidth="1"/>
    <col min="11795" max="11795" width="19.125" style="34" customWidth="1"/>
    <col min="11796" max="11796" width="6.875" style="34" customWidth="1"/>
    <col min="11797" max="11797" width="17.625" style="34" customWidth="1"/>
    <col min="11798" max="11798" width="9" style="34"/>
    <col min="11799" max="11799" width="17.375" style="34" customWidth="1"/>
    <col min="11800" max="11800" width="9" style="34"/>
    <col min="11801" max="11801" width="21" style="34" customWidth="1"/>
    <col min="11802" max="11802" width="9" style="34"/>
    <col min="11803" max="11803" width="11.375" style="34" customWidth="1"/>
    <col min="11804" max="12045" width="9" style="34"/>
    <col min="12046" max="12046" width="61.875" style="34" bestFit="1" customWidth="1"/>
    <col min="12047" max="12047" width="17.75" style="34" customWidth="1"/>
    <col min="12048" max="12048" width="8.125" style="34" customWidth="1"/>
    <col min="12049" max="12049" width="18.625" style="34" customWidth="1"/>
    <col min="12050" max="12050" width="7.5" style="34" customWidth="1"/>
    <col min="12051" max="12051" width="19.125" style="34" customWidth="1"/>
    <col min="12052" max="12052" width="6.875" style="34" customWidth="1"/>
    <col min="12053" max="12053" width="17.625" style="34" customWidth="1"/>
    <col min="12054" max="12054" width="9" style="34"/>
    <col min="12055" max="12055" width="17.375" style="34" customWidth="1"/>
    <col min="12056" max="12056" width="9" style="34"/>
    <col min="12057" max="12057" width="21" style="34" customWidth="1"/>
    <col min="12058" max="12058" width="9" style="34"/>
    <col min="12059" max="12059" width="11.375" style="34" customWidth="1"/>
    <col min="12060" max="12301" width="9" style="34"/>
    <col min="12302" max="12302" width="61.875" style="34" bestFit="1" customWidth="1"/>
    <col min="12303" max="12303" width="17.75" style="34" customWidth="1"/>
    <col min="12304" max="12304" width="8.125" style="34" customWidth="1"/>
    <col min="12305" max="12305" width="18.625" style="34" customWidth="1"/>
    <col min="12306" max="12306" width="7.5" style="34" customWidth="1"/>
    <col min="12307" max="12307" width="19.125" style="34" customWidth="1"/>
    <col min="12308" max="12308" width="6.875" style="34" customWidth="1"/>
    <col min="12309" max="12309" width="17.625" style="34" customWidth="1"/>
    <col min="12310" max="12310" width="9" style="34"/>
    <col min="12311" max="12311" width="17.375" style="34" customWidth="1"/>
    <col min="12312" max="12312" width="9" style="34"/>
    <col min="12313" max="12313" width="21" style="34" customWidth="1"/>
    <col min="12314" max="12314" width="9" style="34"/>
    <col min="12315" max="12315" width="11.375" style="34" customWidth="1"/>
    <col min="12316" max="12557" width="9" style="34"/>
    <col min="12558" max="12558" width="61.875" style="34" bestFit="1" customWidth="1"/>
    <col min="12559" max="12559" width="17.75" style="34" customWidth="1"/>
    <col min="12560" max="12560" width="8.125" style="34" customWidth="1"/>
    <col min="12561" max="12561" width="18.625" style="34" customWidth="1"/>
    <col min="12562" max="12562" width="7.5" style="34" customWidth="1"/>
    <col min="12563" max="12563" width="19.125" style="34" customWidth="1"/>
    <col min="12564" max="12564" width="6.875" style="34" customWidth="1"/>
    <col min="12565" max="12565" width="17.625" style="34" customWidth="1"/>
    <col min="12566" max="12566" width="9" style="34"/>
    <col min="12567" max="12567" width="17.375" style="34" customWidth="1"/>
    <col min="12568" max="12568" width="9" style="34"/>
    <col min="12569" max="12569" width="21" style="34" customWidth="1"/>
    <col min="12570" max="12570" width="9" style="34"/>
    <col min="12571" max="12571" width="11.375" style="34" customWidth="1"/>
    <col min="12572" max="12813" width="9" style="34"/>
    <col min="12814" max="12814" width="61.875" style="34" bestFit="1" customWidth="1"/>
    <col min="12815" max="12815" width="17.75" style="34" customWidth="1"/>
    <col min="12816" max="12816" width="8.125" style="34" customWidth="1"/>
    <col min="12817" max="12817" width="18.625" style="34" customWidth="1"/>
    <col min="12818" max="12818" width="7.5" style="34" customWidth="1"/>
    <col min="12819" max="12819" width="19.125" style="34" customWidth="1"/>
    <col min="12820" max="12820" width="6.875" style="34" customWidth="1"/>
    <col min="12821" max="12821" width="17.625" style="34" customWidth="1"/>
    <col min="12822" max="12822" width="9" style="34"/>
    <col min="12823" max="12823" width="17.375" style="34" customWidth="1"/>
    <col min="12824" max="12824" width="9" style="34"/>
    <col min="12825" max="12825" width="21" style="34" customWidth="1"/>
    <col min="12826" max="12826" width="9" style="34"/>
    <col min="12827" max="12827" width="11.375" style="34" customWidth="1"/>
    <col min="12828" max="13069" width="9" style="34"/>
    <col min="13070" max="13070" width="61.875" style="34" bestFit="1" customWidth="1"/>
    <col min="13071" max="13071" width="17.75" style="34" customWidth="1"/>
    <col min="13072" max="13072" width="8.125" style="34" customWidth="1"/>
    <col min="13073" max="13073" width="18.625" style="34" customWidth="1"/>
    <col min="13074" max="13074" width="7.5" style="34" customWidth="1"/>
    <col min="13075" max="13075" width="19.125" style="34" customWidth="1"/>
    <col min="13076" max="13076" width="6.875" style="34" customWidth="1"/>
    <col min="13077" max="13077" width="17.625" style="34" customWidth="1"/>
    <col min="13078" max="13078" width="9" style="34"/>
    <col min="13079" max="13079" width="17.375" style="34" customWidth="1"/>
    <col min="13080" max="13080" width="9" style="34"/>
    <col min="13081" max="13081" width="21" style="34" customWidth="1"/>
    <col min="13082" max="13082" width="9" style="34"/>
    <col min="13083" max="13083" width="11.375" style="34" customWidth="1"/>
    <col min="13084" max="13325" width="9" style="34"/>
    <col min="13326" max="13326" width="61.875" style="34" bestFit="1" customWidth="1"/>
    <col min="13327" max="13327" width="17.75" style="34" customWidth="1"/>
    <col min="13328" max="13328" width="8.125" style="34" customWidth="1"/>
    <col min="13329" max="13329" width="18.625" style="34" customWidth="1"/>
    <col min="13330" max="13330" width="7.5" style="34" customWidth="1"/>
    <col min="13331" max="13331" width="19.125" style="34" customWidth="1"/>
    <col min="13332" max="13332" width="6.875" style="34" customWidth="1"/>
    <col min="13333" max="13333" width="17.625" style="34" customWidth="1"/>
    <col min="13334" max="13334" width="9" style="34"/>
    <col min="13335" max="13335" width="17.375" style="34" customWidth="1"/>
    <col min="13336" max="13336" width="9" style="34"/>
    <col min="13337" max="13337" width="21" style="34" customWidth="1"/>
    <col min="13338" max="13338" width="9" style="34"/>
    <col min="13339" max="13339" width="11.375" style="34" customWidth="1"/>
    <col min="13340" max="13581" width="9" style="34"/>
    <col min="13582" max="13582" width="61.875" style="34" bestFit="1" customWidth="1"/>
    <col min="13583" max="13583" width="17.75" style="34" customWidth="1"/>
    <col min="13584" max="13584" width="8.125" style="34" customWidth="1"/>
    <col min="13585" max="13585" width="18.625" style="34" customWidth="1"/>
    <col min="13586" max="13586" width="7.5" style="34" customWidth="1"/>
    <col min="13587" max="13587" width="19.125" style="34" customWidth="1"/>
    <col min="13588" max="13588" width="6.875" style="34" customWidth="1"/>
    <col min="13589" max="13589" width="17.625" style="34" customWidth="1"/>
    <col min="13590" max="13590" width="9" style="34"/>
    <col min="13591" max="13591" width="17.375" style="34" customWidth="1"/>
    <col min="13592" max="13592" width="9" style="34"/>
    <col min="13593" max="13593" width="21" style="34" customWidth="1"/>
    <col min="13594" max="13594" width="9" style="34"/>
    <col min="13595" max="13595" width="11.375" style="34" customWidth="1"/>
    <col min="13596" max="13837" width="9" style="34"/>
    <col min="13838" max="13838" width="61.875" style="34" bestFit="1" customWidth="1"/>
    <col min="13839" max="13839" width="17.75" style="34" customWidth="1"/>
    <col min="13840" max="13840" width="8.125" style="34" customWidth="1"/>
    <col min="13841" max="13841" width="18.625" style="34" customWidth="1"/>
    <col min="13842" max="13842" width="7.5" style="34" customWidth="1"/>
    <col min="13843" max="13843" width="19.125" style="34" customWidth="1"/>
    <col min="13844" max="13844" width="6.875" style="34" customWidth="1"/>
    <col min="13845" max="13845" width="17.625" style="34" customWidth="1"/>
    <col min="13846" max="13846" width="9" style="34"/>
    <col min="13847" max="13847" width="17.375" style="34" customWidth="1"/>
    <col min="13848" max="13848" width="9" style="34"/>
    <col min="13849" max="13849" width="21" style="34" customWidth="1"/>
    <col min="13850" max="13850" width="9" style="34"/>
    <col min="13851" max="13851" width="11.375" style="34" customWidth="1"/>
    <col min="13852" max="14093" width="9" style="34"/>
    <col min="14094" max="14094" width="61.875" style="34" bestFit="1" customWidth="1"/>
    <col min="14095" max="14095" width="17.75" style="34" customWidth="1"/>
    <col min="14096" max="14096" width="8.125" style="34" customWidth="1"/>
    <col min="14097" max="14097" width="18.625" style="34" customWidth="1"/>
    <col min="14098" max="14098" width="7.5" style="34" customWidth="1"/>
    <col min="14099" max="14099" width="19.125" style="34" customWidth="1"/>
    <col min="14100" max="14100" width="6.875" style="34" customWidth="1"/>
    <col min="14101" max="14101" width="17.625" style="34" customWidth="1"/>
    <col min="14102" max="14102" width="9" style="34"/>
    <col min="14103" max="14103" width="17.375" style="34" customWidth="1"/>
    <col min="14104" max="14104" width="9" style="34"/>
    <col min="14105" max="14105" width="21" style="34" customWidth="1"/>
    <col min="14106" max="14106" width="9" style="34"/>
    <col min="14107" max="14107" width="11.375" style="34" customWidth="1"/>
    <col min="14108" max="14349" width="9" style="34"/>
    <col min="14350" max="14350" width="61.875" style="34" bestFit="1" customWidth="1"/>
    <col min="14351" max="14351" width="17.75" style="34" customWidth="1"/>
    <col min="14352" max="14352" width="8.125" style="34" customWidth="1"/>
    <col min="14353" max="14353" width="18.625" style="34" customWidth="1"/>
    <col min="14354" max="14354" width="7.5" style="34" customWidth="1"/>
    <col min="14355" max="14355" width="19.125" style="34" customWidth="1"/>
    <col min="14356" max="14356" width="6.875" style="34" customWidth="1"/>
    <col min="14357" max="14357" width="17.625" style="34" customWidth="1"/>
    <col min="14358" max="14358" width="9" style="34"/>
    <col min="14359" max="14359" width="17.375" style="34" customWidth="1"/>
    <col min="14360" max="14360" width="9" style="34"/>
    <col min="14361" max="14361" width="21" style="34" customWidth="1"/>
    <col min="14362" max="14362" width="9" style="34"/>
    <col min="14363" max="14363" width="11.375" style="34" customWidth="1"/>
    <col min="14364" max="14605" width="9" style="34"/>
    <col min="14606" max="14606" width="61.875" style="34" bestFit="1" customWidth="1"/>
    <col min="14607" max="14607" width="17.75" style="34" customWidth="1"/>
    <col min="14608" max="14608" width="8.125" style="34" customWidth="1"/>
    <col min="14609" max="14609" width="18.625" style="34" customWidth="1"/>
    <col min="14610" max="14610" width="7.5" style="34" customWidth="1"/>
    <col min="14611" max="14611" width="19.125" style="34" customWidth="1"/>
    <col min="14612" max="14612" width="6.875" style="34" customWidth="1"/>
    <col min="14613" max="14613" width="17.625" style="34" customWidth="1"/>
    <col min="14614" max="14614" width="9" style="34"/>
    <col min="14615" max="14615" width="17.375" style="34" customWidth="1"/>
    <col min="14616" max="14616" width="9" style="34"/>
    <col min="14617" max="14617" width="21" style="34" customWidth="1"/>
    <col min="14618" max="14618" width="9" style="34"/>
    <col min="14619" max="14619" width="11.375" style="34" customWidth="1"/>
    <col min="14620" max="14861" width="9" style="34"/>
    <col min="14862" max="14862" width="61.875" style="34" bestFit="1" customWidth="1"/>
    <col min="14863" max="14863" width="17.75" style="34" customWidth="1"/>
    <col min="14864" max="14864" width="8.125" style="34" customWidth="1"/>
    <col min="14865" max="14865" width="18.625" style="34" customWidth="1"/>
    <col min="14866" max="14866" width="7.5" style="34" customWidth="1"/>
    <col min="14867" max="14867" width="19.125" style="34" customWidth="1"/>
    <col min="14868" max="14868" width="6.875" style="34" customWidth="1"/>
    <col min="14869" max="14869" width="17.625" style="34" customWidth="1"/>
    <col min="14870" max="14870" width="9" style="34"/>
    <col min="14871" max="14871" width="17.375" style="34" customWidth="1"/>
    <col min="14872" max="14872" width="9" style="34"/>
    <col min="14873" max="14873" width="21" style="34" customWidth="1"/>
    <col min="14874" max="14874" width="9" style="34"/>
    <col min="14875" max="14875" width="11.375" style="34" customWidth="1"/>
    <col min="14876" max="15117" width="9" style="34"/>
    <col min="15118" max="15118" width="61.875" style="34" bestFit="1" customWidth="1"/>
    <col min="15119" max="15119" width="17.75" style="34" customWidth="1"/>
    <col min="15120" max="15120" width="8.125" style="34" customWidth="1"/>
    <col min="15121" max="15121" width="18.625" style="34" customWidth="1"/>
    <col min="15122" max="15122" width="7.5" style="34" customWidth="1"/>
    <col min="15123" max="15123" width="19.125" style="34" customWidth="1"/>
    <col min="15124" max="15124" width="6.875" style="34" customWidth="1"/>
    <col min="15125" max="15125" width="17.625" style="34" customWidth="1"/>
    <col min="15126" max="15126" width="9" style="34"/>
    <col min="15127" max="15127" width="17.375" style="34" customWidth="1"/>
    <col min="15128" max="15128" width="9" style="34"/>
    <col min="15129" max="15129" width="21" style="34" customWidth="1"/>
    <col min="15130" max="15130" width="9" style="34"/>
    <col min="15131" max="15131" width="11.375" style="34" customWidth="1"/>
    <col min="15132" max="15373" width="9" style="34"/>
    <col min="15374" max="15374" width="61.875" style="34" bestFit="1" customWidth="1"/>
    <col min="15375" max="15375" width="17.75" style="34" customWidth="1"/>
    <col min="15376" max="15376" width="8.125" style="34" customWidth="1"/>
    <col min="15377" max="15377" width="18.625" style="34" customWidth="1"/>
    <col min="15378" max="15378" width="7.5" style="34" customWidth="1"/>
    <col min="15379" max="15379" width="19.125" style="34" customWidth="1"/>
    <col min="15380" max="15380" width="6.875" style="34" customWidth="1"/>
    <col min="15381" max="15381" width="17.625" style="34" customWidth="1"/>
    <col min="15382" max="15382" width="9" style="34"/>
    <col min="15383" max="15383" width="17.375" style="34" customWidth="1"/>
    <col min="15384" max="15384" width="9" style="34"/>
    <col min="15385" max="15385" width="21" style="34" customWidth="1"/>
    <col min="15386" max="15386" width="9" style="34"/>
    <col min="15387" max="15387" width="11.375" style="34" customWidth="1"/>
    <col min="15388" max="15629" width="9" style="34"/>
    <col min="15630" max="15630" width="61.875" style="34" bestFit="1" customWidth="1"/>
    <col min="15631" max="15631" width="17.75" style="34" customWidth="1"/>
    <col min="15632" max="15632" width="8.125" style="34" customWidth="1"/>
    <col min="15633" max="15633" width="18.625" style="34" customWidth="1"/>
    <col min="15634" max="15634" width="7.5" style="34" customWidth="1"/>
    <col min="15635" max="15635" width="19.125" style="34" customWidth="1"/>
    <col min="15636" max="15636" width="6.875" style="34" customWidth="1"/>
    <col min="15637" max="15637" width="17.625" style="34" customWidth="1"/>
    <col min="15638" max="15638" width="9" style="34"/>
    <col min="15639" max="15639" width="17.375" style="34" customWidth="1"/>
    <col min="15640" max="15640" width="9" style="34"/>
    <col min="15641" max="15641" width="21" style="34" customWidth="1"/>
    <col min="15642" max="15642" width="9" style="34"/>
    <col min="15643" max="15643" width="11.375" style="34" customWidth="1"/>
    <col min="15644" max="15885" width="9" style="34"/>
    <col min="15886" max="15886" width="61.875" style="34" bestFit="1" customWidth="1"/>
    <col min="15887" max="15887" width="17.75" style="34" customWidth="1"/>
    <col min="15888" max="15888" width="8.125" style="34" customWidth="1"/>
    <col min="15889" max="15889" width="18.625" style="34" customWidth="1"/>
    <col min="15890" max="15890" width="7.5" style="34" customWidth="1"/>
    <col min="15891" max="15891" width="19.125" style="34" customWidth="1"/>
    <col min="15892" max="15892" width="6.875" style="34" customWidth="1"/>
    <col min="15893" max="15893" width="17.625" style="34" customWidth="1"/>
    <col min="15894" max="15894" width="9" style="34"/>
    <col min="15895" max="15895" width="17.375" style="34" customWidth="1"/>
    <col min="15896" max="15896" width="9" style="34"/>
    <col min="15897" max="15897" width="21" style="34" customWidth="1"/>
    <col min="15898" max="15898" width="9" style="34"/>
    <col min="15899" max="15899" width="11.375" style="34" customWidth="1"/>
    <col min="15900" max="16141" width="9" style="34"/>
    <col min="16142" max="16142" width="61.875" style="34" bestFit="1" customWidth="1"/>
    <col min="16143" max="16143" width="17.75" style="34" customWidth="1"/>
    <col min="16144" max="16144" width="8.125" style="34" customWidth="1"/>
    <col min="16145" max="16145" width="18.625" style="34" customWidth="1"/>
    <col min="16146" max="16146" width="7.5" style="34" customWidth="1"/>
    <col min="16147" max="16147" width="19.125" style="34" customWidth="1"/>
    <col min="16148" max="16148" width="6.875" style="34" customWidth="1"/>
    <col min="16149" max="16149" width="17.625" style="34" customWidth="1"/>
    <col min="16150" max="16150" width="9" style="34"/>
    <col min="16151" max="16151" width="17.375" style="34" customWidth="1"/>
    <col min="16152" max="16152" width="9" style="34"/>
    <col min="16153" max="16153" width="21" style="34" customWidth="1"/>
    <col min="16154" max="16154" width="9" style="34"/>
    <col min="16155" max="16155" width="11.375" style="34" customWidth="1"/>
    <col min="16156" max="16384" width="9" style="34"/>
  </cols>
  <sheetData>
    <row r="1" spans="1:27" s="2" customFormat="1" ht="103.5" customHeight="1" x14ac:dyDescent="0.25">
      <c r="A1" s="223" t="s">
        <v>222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5"/>
    </row>
    <row r="2" spans="1:27" s="56" customFormat="1" ht="18.75" x14ac:dyDescent="0.2">
      <c r="A2" s="226" t="s">
        <v>237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8"/>
    </row>
    <row r="3" spans="1:27" ht="15" x14ac:dyDescent="0.25">
      <c r="A3" s="151" t="s">
        <v>195</v>
      </c>
      <c r="B3" s="215" t="str">
        <f>'Orçamento Sintético'!B2:F2</f>
        <v>INFRAESTRUTURA URBANA - PAVIMENTAÇÃO ASFÁLTICA E DRENAGEM - PROGRAMA AVANÇAR CIDADES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7"/>
      <c r="X3" s="75" t="s">
        <v>196</v>
      </c>
      <c r="Y3" s="218" t="str">
        <f>'Orçamento Sintético'!H3:H4</f>
        <v xml:space="preserve">SINAPI/MS - 05/2022
</v>
      </c>
    </row>
    <row r="4" spans="1:27" ht="15" x14ac:dyDescent="0.25">
      <c r="A4" s="151" t="s">
        <v>197</v>
      </c>
      <c r="B4" s="215" t="str">
        <f>'Orçamento Sintético'!B3:F3</f>
        <v>18.206,37 m²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7"/>
      <c r="X4" s="221">
        <f>BDI!J5</f>
        <v>0.22470000000000001</v>
      </c>
      <c r="Y4" s="219"/>
    </row>
    <row r="5" spans="1:27" ht="15" x14ac:dyDescent="0.25">
      <c r="A5" s="151" t="s">
        <v>198</v>
      </c>
      <c r="B5" s="215" t="str">
        <f>'Orçamento Sintético'!B4:F4</f>
        <v>BAIRRO JD. SANTA MARTA - SIDROLÂNDIA/MS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7"/>
      <c r="X5" s="222"/>
      <c r="Y5" s="220"/>
    </row>
    <row r="6" spans="1:27" x14ac:dyDescent="0.2">
      <c r="A6" s="229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1"/>
    </row>
    <row r="7" spans="1:27" x14ac:dyDescent="0.2">
      <c r="A7" s="232" t="s">
        <v>227</v>
      </c>
      <c r="B7" s="233" t="s">
        <v>228</v>
      </c>
      <c r="C7" s="233" t="s">
        <v>229</v>
      </c>
      <c r="D7" s="233"/>
      <c r="E7" s="233" t="s">
        <v>230</v>
      </c>
      <c r="F7" s="233"/>
      <c r="G7" s="233" t="s">
        <v>231</v>
      </c>
      <c r="H7" s="233"/>
      <c r="I7" s="233" t="s">
        <v>232</v>
      </c>
      <c r="J7" s="234"/>
      <c r="K7" s="233" t="s">
        <v>233</v>
      </c>
      <c r="L7" s="234"/>
      <c r="M7" s="233" t="s">
        <v>240</v>
      </c>
      <c r="N7" s="234"/>
      <c r="O7" s="233" t="s">
        <v>241</v>
      </c>
      <c r="P7" s="234"/>
      <c r="Q7" s="233" t="s">
        <v>780</v>
      </c>
      <c r="R7" s="234"/>
      <c r="S7" s="233" t="s">
        <v>781</v>
      </c>
      <c r="T7" s="234"/>
      <c r="U7" s="233" t="s">
        <v>782</v>
      </c>
      <c r="V7" s="234"/>
      <c r="W7" s="233" t="s">
        <v>783</v>
      </c>
      <c r="X7" s="234"/>
      <c r="Y7" s="235" t="s">
        <v>234</v>
      </c>
    </row>
    <row r="8" spans="1:27" x14ac:dyDescent="0.2">
      <c r="A8" s="232"/>
      <c r="B8" s="233"/>
      <c r="C8" s="233"/>
      <c r="D8" s="233"/>
      <c r="E8" s="233"/>
      <c r="F8" s="233"/>
      <c r="G8" s="233"/>
      <c r="H8" s="233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6"/>
    </row>
    <row r="9" spans="1:27" ht="15" x14ac:dyDescent="0.2">
      <c r="A9" s="232"/>
      <c r="B9" s="233"/>
      <c r="C9" s="147" t="s">
        <v>235</v>
      </c>
      <c r="D9" s="147" t="s">
        <v>236</v>
      </c>
      <c r="E9" s="148" t="s">
        <v>235</v>
      </c>
      <c r="F9" s="57" t="s">
        <v>236</v>
      </c>
      <c r="G9" s="148" t="s">
        <v>235</v>
      </c>
      <c r="H9" s="57" t="s">
        <v>236</v>
      </c>
      <c r="I9" s="148" t="s">
        <v>235</v>
      </c>
      <c r="J9" s="57" t="s">
        <v>236</v>
      </c>
      <c r="K9" s="148" t="s">
        <v>235</v>
      </c>
      <c r="L9" s="57" t="s">
        <v>236</v>
      </c>
      <c r="M9" s="148" t="s">
        <v>235</v>
      </c>
      <c r="N9" s="57" t="s">
        <v>236</v>
      </c>
      <c r="O9" s="57"/>
      <c r="P9" s="57"/>
      <c r="Q9" s="57"/>
      <c r="R9" s="57"/>
      <c r="S9" s="57"/>
      <c r="T9" s="57"/>
      <c r="U9" s="57"/>
      <c r="V9" s="57"/>
      <c r="W9" s="148" t="s">
        <v>235</v>
      </c>
      <c r="X9" s="76" t="s">
        <v>236</v>
      </c>
      <c r="Y9" s="152" t="s">
        <v>235</v>
      </c>
    </row>
    <row r="10" spans="1:27" ht="15" x14ac:dyDescent="0.2">
      <c r="A10" s="150" t="str">
        <f>'Orçamento Sintético'!A7</f>
        <v xml:space="preserve"> 1.1</v>
      </c>
      <c r="B10" s="48" t="str">
        <f>'Orçamento Sintético'!B7:H7</f>
        <v>ADMINISTRAÇÃO LOCAL</v>
      </c>
      <c r="C10" s="48">
        <f>'Orçamento Sintético'!I7</f>
        <v>109704.55</v>
      </c>
      <c r="D10" s="65">
        <f>C10/$C$30</f>
        <v>2.2858915640022348E-2</v>
      </c>
      <c r="E10" s="67">
        <f>F10*$C$10</f>
        <v>10970.455000000002</v>
      </c>
      <c r="F10" s="68">
        <v>0.1</v>
      </c>
      <c r="G10" s="67">
        <f>H10*$C$10</f>
        <v>10970.455000000002</v>
      </c>
      <c r="H10" s="68">
        <v>0.1</v>
      </c>
      <c r="I10" s="67">
        <f>J10*$C$10</f>
        <v>10970.455000000002</v>
      </c>
      <c r="J10" s="68">
        <v>0.1</v>
      </c>
      <c r="K10" s="67">
        <f>L10*$C$10</f>
        <v>10970.455000000002</v>
      </c>
      <c r="L10" s="68">
        <v>0.1</v>
      </c>
      <c r="M10" s="67">
        <f>N10*$C$10</f>
        <v>10970.455000000002</v>
      </c>
      <c r="N10" s="68">
        <v>0.1</v>
      </c>
      <c r="O10" s="67">
        <f>P10*$C$10</f>
        <v>10970.455000000002</v>
      </c>
      <c r="P10" s="68">
        <v>0.1</v>
      </c>
      <c r="Q10" s="67">
        <f>R10*$C$10</f>
        <v>10970.455000000002</v>
      </c>
      <c r="R10" s="68">
        <v>0.1</v>
      </c>
      <c r="S10" s="67">
        <f>T10*$C$10</f>
        <v>10970.455000000002</v>
      </c>
      <c r="T10" s="68">
        <v>0.1</v>
      </c>
      <c r="U10" s="67">
        <f>V10*$C$10</f>
        <v>10970.455000000002</v>
      </c>
      <c r="V10" s="68">
        <v>0.1</v>
      </c>
      <c r="W10" s="67">
        <f>X10*$C$10</f>
        <v>10970.455000000002</v>
      </c>
      <c r="X10" s="77">
        <v>0.1</v>
      </c>
      <c r="Y10" s="153">
        <f>E10+G10+I10+K10+M10+O10+Q10+S10+U10+W10</f>
        <v>109704.55000000002</v>
      </c>
      <c r="AA10" s="80"/>
    </row>
    <row r="11" spans="1:27" ht="15" x14ac:dyDescent="0.25">
      <c r="A11" s="150"/>
      <c r="B11" s="50"/>
      <c r="C11" s="61"/>
      <c r="D11" s="51"/>
      <c r="E11" s="241"/>
      <c r="F11" s="241"/>
      <c r="G11" s="241"/>
      <c r="H11" s="241"/>
      <c r="I11" s="241"/>
      <c r="J11" s="241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241"/>
      <c r="X11" s="241"/>
      <c r="Y11" s="153"/>
      <c r="AA11" s="80"/>
    </row>
    <row r="12" spans="1:27" ht="15" x14ac:dyDescent="0.25">
      <c r="A12" s="150" t="str">
        <f>'Orçamento Sintético'!A16</f>
        <v xml:space="preserve"> 1.2 </v>
      </c>
      <c r="B12" s="58" t="str">
        <f>'Orçamento Sintético'!B16</f>
        <v>SERVIÇOS PRELIMINARES</v>
      </c>
      <c r="C12" s="62">
        <f>'Orçamento Sintético'!I16</f>
        <v>18222.120000000003</v>
      </c>
      <c r="D12" s="65">
        <f>C12/$C$30</f>
        <v>3.7969063622462704E-3</v>
      </c>
      <c r="E12" s="67">
        <f>F12*$C$12</f>
        <v>5466.6360000000004</v>
      </c>
      <c r="F12" s="68">
        <v>0.3</v>
      </c>
      <c r="G12" s="67">
        <f>H12*$C$12</f>
        <v>9111.0600000000013</v>
      </c>
      <c r="H12" s="68">
        <v>0.5</v>
      </c>
      <c r="I12" s="67">
        <f>J12*$C$12</f>
        <v>3644.4240000000009</v>
      </c>
      <c r="J12" s="68">
        <v>0.2</v>
      </c>
      <c r="K12" s="67">
        <f>L12*$C$12</f>
        <v>0</v>
      </c>
      <c r="L12" s="68"/>
      <c r="M12" s="67">
        <f>N12*$C$12</f>
        <v>0</v>
      </c>
      <c r="N12" s="68"/>
      <c r="O12" s="67">
        <f>P12*$C$12</f>
        <v>0</v>
      </c>
      <c r="P12" s="68"/>
      <c r="Q12" s="67">
        <f>R12*$C$12</f>
        <v>0</v>
      </c>
      <c r="R12" s="68"/>
      <c r="S12" s="67">
        <f>T12*$C$12</f>
        <v>0</v>
      </c>
      <c r="T12" s="68"/>
      <c r="U12" s="67">
        <f>V12*$C$12</f>
        <v>0</v>
      </c>
      <c r="V12" s="68"/>
      <c r="W12" s="67">
        <f>X12*$C$12</f>
        <v>0</v>
      </c>
      <c r="X12" s="77"/>
      <c r="Y12" s="153">
        <f>E12+G12+I12+K12+M12+O12+Q12+S12+U12+W12</f>
        <v>18222.120000000003</v>
      </c>
      <c r="AA12" s="80"/>
    </row>
    <row r="13" spans="1:27" ht="15" x14ac:dyDescent="0.25">
      <c r="A13" s="150"/>
      <c r="B13" s="50"/>
      <c r="C13" s="61"/>
      <c r="D13" s="51"/>
      <c r="E13" s="245"/>
      <c r="F13" s="246"/>
      <c r="G13" s="245"/>
      <c r="H13" s="246"/>
      <c r="I13" s="237"/>
      <c r="J13" s="238"/>
      <c r="K13" s="249"/>
      <c r="L13" s="250"/>
      <c r="M13" s="249"/>
      <c r="N13" s="250"/>
      <c r="O13" s="249"/>
      <c r="P13" s="250"/>
      <c r="Q13" s="249"/>
      <c r="R13" s="250"/>
      <c r="S13" s="249"/>
      <c r="T13" s="250"/>
      <c r="U13" s="249"/>
      <c r="V13" s="250"/>
      <c r="W13" s="244"/>
      <c r="X13" s="244"/>
      <c r="Y13" s="153"/>
      <c r="AA13" s="80"/>
    </row>
    <row r="14" spans="1:27" ht="15" x14ac:dyDescent="0.25">
      <c r="A14" s="150" t="str">
        <f>'Orçamento Sintético'!A22</f>
        <v xml:space="preserve"> 1.3 </v>
      </c>
      <c r="B14" s="58" t="str">
        <f>'Orçamento Sintético'!B22</f>
        <v>MICRODRENAGEM - TERRAPLENAGEM</v>
      </c>
      <c r="C14" s="62">
        <f>'Orçamento Sintético'!I22</f>
        <v>568837.7699999999</v>
      </c>
      <c r="D14" s="65">
        <f>C14/$C$30</f>
        <v>0.11852757791074693</v>
      </c>
      <c r="E14" s="67">
        <f>F14*$C$14</f>
        <v>113767.55399999999</v>
      </c>
      <c r="F14" s="68">
        <v>0.2</v>
      </c>
      <c r="G14" s="67">
        <f>H14*$C$14</f>
        <v>170651.33099999998</v>
      </c>
      <c r="H14" s="68">
        <v>0.3</v>
      </c>
      <c r="I14" s="67">
        <f>J14*$C$14</f>
        <v>170651.33099999998</v>
      </c>
      <c r="J14" s="68">
        <v>0.3</v>
      </c>
      <c r="K14" s="67">
        <f>L14*$C$14</f>
        <v>113767.55399999999</v>
      </c>
      <c r="L14" s="68">
        <v>0.2</v>
      </c>
      <c r="M14" s="67">
        <f>N14*$C$14</f>
        <v>0</v>
      </c>
      <c r="N14" s="68"/>
      <c r="O14" s="67">
        <f>P14*$C$14</f>
        <v>0</v>
      </c>
      <c r="P14" s="68"/>
      <c r="Q14" s="67">
        <f>R14*$C$14</f>
        <v>0</v>
      </c>
      <c r="R14" s="68"/>
      <c r="S14" s="67">
        <f>T14*$C$14</f>
        <v>0</v>
      </c>
      <c r="T14" s="68"/>
      <c r="U14" s="67">
        <f>V14*$C$14</f>
        <v>0</v>
      </c>
      <c r="V14" s="68"/>
      <c r="W14" s="67">
        <f>X14*$C$14</f>
        <v>0</v>
      </c>
      <c r="X14" s="77"/>
      <c r="Y14" s="153">
        <f>E14+G14+I14+K14+M14+O14+Q14+S14+U14+W14</f>
        <v>568837.7699999999</v>
      </c>
      <c r="AA14" s="80"/>
    </row>
    <row r="15" spans="1:27" ht="15" x14ac:dyDescent="0.25">
      <c r="A15" s="150"/>
      <c r="B15" s="59"/>
      <c r="C15" s="62"/>
      <c r="D15" s="51"/>
      <c r="E15" s="241"/>
      <c r="F15" s="241"/>
      <c r="G15" s="237"/>
      <c r="H15" s="238"/>
      <c r="I15" s="241"/>
      <c r="J15" s="241"/>
      <c r="K15" s="241"/>
      <c r="L15" s="241"/>
      <c r="M15" s="249"/>
      <c r="N15" s="250"/>
      <c r="O15" s="249"/>
      <c r="P15" s="250"/>
      <c r="Q15" s="249"/>
      <c r="R15" s="250"/>
      <c r="S15" s="249"/>
      <c r="T15" s="250"/>
      <c r="U15" s="249"/>
      <c r="V15" s="250"/>
      <c r="W15" s="247"/>
      <c r="X15" s="248"/>
      <c r="Y15" s="153"/>
      <c r="AA15" s="80"/>
    </row>
    <row r="16" spans="1:27" ht="15" x14ac:dyDescent="0.25">
      <c r="A16" s="150" t="str">
        <f>'Orçamento Sintético'!A33</f>
        <v xml:space="preserve"> 1.4 </v>
      </c>
      <c r="B16" s="58" t="str">
        <f>'Orçamento Sintético'!B33</f>
        <v>MICRODRENAGEM - DISPOSITIVOS AUXILIARES</v>
      </c>
      <c r="C16" s="62">
        <f>'Orçamento Sintético'!I33</f>
        <v>1421257.7499999998</v>
      </c>
      <c r="D16" s="65">
        <f>C16/$C$30</f>
        <v>0.29614460849598279</v>
      </c>
      <c r="E16" s="67">
        <f>F16*$C$16</f>
        <v>0</v>
      </c>
      <c r="F16" s="68"/>
      <c r="G16" s="67">
        <f>H16*$C$16</f>
        <v>142125.77499999999</v>
      </c>
      <c r="H16" s="68">
        <v>0.1</v>
      </c>
      <c r="I16" s="67">
        <f>J16*$C$16</f>
        <v>284251.55</v>
      </c>
      <c r="J16" s="68">
        <v>0.2</v>
      </c>
      <c r="K16" s="67">
        <f>L16*$C$16</f>
        <v>284251.55</v>
      </c>
      <c r="L16" s="68">
        <v>0.2</v>
      </c>
      <c r="M16" s="67">
        <f>N16*$C$16</f>
        <v>710628.87499999988</v>
      </c>
      <c r="N16" s="68">
        <v>0.5</v>
      </c>
      <c r="O16" s="67">
        <f>P16*$C$16</f>
        <v>0</v>
      </c>
      <c r="P16" s="68"/>
      <c r="Q16" s="67">
        <f>R16*$C$16</f>
        <v>0</v>
      </c>
      <c r="R16" s="68"/>
      <c r="S16" s="67">
        <f>T16*$C$16</f>
        <v>0</v>
      </c>
      <c r="T16" s="68"/>
      <c r="U16" s="67">
        <f>V16*$C$16</f>
        <v>0</v>
      </c>
      <c r="V16" s="68"/>
      <c r="W16" s="67">
        <f>X16*$C$16</f>
        <v>0</v>
      </c>
      <c r="X16" s="77"/>
      <c r="Y16" s="153">
        <f>E16+G16+I16+K16+M16+O16+Q16+S16+U16+W16</f>
        <v>1421257.75</v>
      </c>
      <c r="AA16" s="80"/>
    </row>
    <row r="17" spans="1:27" ht="15" x14ac:dyDescent="0.25">
      <c r="A17" s="150"/>
      <c r="B17" s="59"/>
      <c r="C17" s="61"/>
      <c r="D17" s="51"/>
      <c r="E17" s="244"/>
      <c r="F17" s="244"/>
      <c r="G17" s="241"/>
      <c r="H17" s="241"/>
      <c r="I17" s="241"/>
      <c r="J17" s="241"/>
      <c r="K17" s="241"/>
      <c r="L17" s="241"/>
      <c r="M17" s="241"/>
      <c r="N17" s="241"/>
      <c r="O17" s="244"/>
      <c r="P17" s="244"/>
      <c r="Q17" s="244"/>
      <c r="R17" s="244"/>
      <c r="S17" s="244"/>
      <c r="T17" s="244"/>
      <c r="U17" s="244"/>
      <c r="V17" s="244"/>
      <c r="W17" s="242"/>
      <c r="X17" s="243"/>
      <c r="Y17" s="153"/>
      <c r="AA17" s="80"/>
    </row>
    <row r="18" spans="1:27" ht="15" x14ac:dyDescent="0.25">
      <c r="A18" s="150" t="str">
        <f>'Orçamento Sintético'!A66</f>
        <v xml:space="preserve"> 1.5</v>
      </c>
      <c r="B18" s="58" t="str">
        <f>'Orçamento Sintético'!B66</f>
        <v>IMPLANTAÇÃO ASFÁLTICA - TERRAPLENAGEM</v>
      </c>
      <c r="C18" s="62">
        <f>'Orçamento Sintético'!I66</f>
        <v>115275.76</v>
      </c>
      <c r="D18" s="65">
        <f>C18/$C$30</f>
        <v>2.4019777421988991E-2</v>
      </c>
      <c r="E18" s="69">
        <f>F18*$C$18</f>
        <v>0</v>
      </c>
      <c r="F18" s="70"/>
      <c r="G18" s="69">
        <f>H18*$C$18</f>
        <v>0</v>
      </c>
      <c r="H18" s="70"/>
      <c r="I18" s="69">
        <f>J18*$C$18</f>
        <v>0</v>
      </c>
      <c r="J18" s="70"/>
      <c r="K18" s="69">
        <f>L18*$C$18</f>
        <v>11527.576000000001</v>
      </c>
      <c r="L18" s="70">
        <v>0.1</v>
      </c>
      <c r="M18" s="69">
        <f>N18*$C$18</f>
        <v>57637.88</v>
      </c>
      <c r="N18" s="70">
        <v>0.5</v>
      </c>
      <c r="O18" s="69">
        <f>P18*$C$18</f>
        <v>46110.304000000004</v>
      </c>
      <c r="P18" s="70">
        <v>0.4</v>
      </c>
      <c r="Q18" s="69">
        <f>R18*$C$18</f>
        <v>0</v>
      </c>
      <c r="R18" s="70"/>
      <c r="S18" s="69">
        <f>T18*$C$18</f>
        <v>0</v>
      </c>
      <c r="T18" s="70"/>
      <c r="U18" s="69">
        <f>V18*$C$18</f>
        <v>0</v>
      </c>
      <c r="V18" s="70"/>
      <c r="W18" s="69">
        <f>X18*$C$18</f>
        <v>0</v>
      </c>
      <c r="X18" s="78"/>
      <c r="Y18" s="153">
        <f>E18+G18+I18+K18+M18+O18+Q18+S18+U18+W18</f>
        <v>115275.76000000001</v>
      </c>
      <c r="AA18" s="80"/>
    </row>
    <row r="19" spans="1:27" ht="15" x14ac:dyDescent="0.25">
      <c r="A19" s="150"/>
      <c r="B19" s="58"/>
      <c r="C19" s="61"/>
      <c r="D19" s="51"/>
      <c r="E19" s="242"/>
      <c r="F19" s="243"/>
      <c r="G19" s="244"/>
      <c r="H19" s="244"/>
      <c r="I19" s="244"/>
      <c r="J19" s="244"/>
      <c r="K19" s="245"/>
      <c r="L19" s="246"/>
      <c r="M19" s="245"/>
      <c r="N19" s="246"/>
      <c r="O19" s="245"/>
      <c r="P19" s="246"/>
      <c r="Q19" s="244"/>
      <c r="R19" s="244"/>
      <c r="S19" s="244"/>
      <c r="T19" s="244"/>
      <c r="U19" s="244"/>
      <c r="V19" s="244"/>
      <c r="W19" s="244"/>
      <c r="X19" s="244"/>
      <c r="Y19" s="153"/>
      <c r="AA19" s="80"/>
    </row>
    <row r="20" spans="1:27" ht="15" x14ac:dyDescent="0.25">
      <c r="A20" s="150" t="str">
        <f>'Orçamento Sintético'!A70</f>
        <v xml:space="preserve"> 1.6 </v>
      </c>
      <c r="B20" s="58" t="str">
        <f>'Orçamento Sintético'!B70</f>
        <v>IMPLANTAÇÃO ASFÁLTICA - PAVIMENTAÇÃO: BASE e IMPRIMAÇÃO</v>
      </c>
      <c r="C20" s="62">
        <f>'Orçamento Sintético'!I70</f>
        <v>807704.05999999994</v>
      </c>
      <c r="D20" s="65">
        <f>C20/$C$30</f>
        <v>0.16829966459589457</v>
      </c>
      <c r="E20" s="69">
        <f>F20*$C$20</f>
        <v>0</v>
      </c>
      <c r="F20" s="70"/>
      <c r="G20" s="69">
        <f>H20*$C$20</f>
        <v>0</v>
      </c>
      <c r="H20" s="70"/>
      <c r="I20" s="69"/>
      <c r="J20" s="70"/>
      <c r="K20" s="69"/>
      <c r="L20" s="70"/>
      <c r="M20" s="69">
        <f>N20*$C$20</f>
        <v>80770.406000000003</v>
      </c>
      <c r="N20" s="70">
        <v>0.1</v>
      </c>
      <c r="O20" s="69">
        <f>P20*$C$20</f>
        <v>161540.81200000001</v>
      </c>
      <c r="P20" s="70">
        <v>0.2</v>
      </c>
      <c r="Q20" s="69">
        <f>R20*$C$20</f>
        <v>403852.02999999997</v>
      </c>
      <c r="R20" s="70">
        <v>0.5</v>
      </c>
      <c r="S20" s="69">
        <f>T20*$C$20</f>
        <v>161540.81200000001</v>
      </c>
      <c r="T20" s="70">
        <v>0.2</v>
      </c>
      <c r="U20" s="69">
        <f>V20*$C$20</f>
        <v>0</v>
      </c>
      <c r="V20" s="78"/>
      <c r="W20" s="69">
        <f>X20*$C$20</f>
        <v>0</v>
      </c>
      <c r="X20" s="78"/>
      <c r="Y20" s="153">
        <f>E20+G20+I20+K20+M20+O20+Q20+S20+U20+W20</f>
        <v>807704.05999999994</v>
      </c>
      <c r="AA20" s="80"/>
    </row>
    <row r="21" spans="1:27" ht="15" x14ac:dyDescent="0.25">
      <c r="A21" s="150"/>
      <c r="B21" s="58"/>
      <c r="C21" s="61"/>
      <c r="D21" s="51"/>
      <c r="E21" s="244"/>
      <c r="F21" s="244"/>
      <c r="G21" s="244"/>
      <c r="H21" s="244"/>
      <c r="I21" s="244"/>
      <c r="J21" s="244"/>
      <c r="K21" s="251"/>
      <c r="L21" s="252"/>
      <c r="M21" s="245"/>
      <c r="N21" s="246"/>
      <c r="O21" s="245"/>
      <c r="P21" s="246"/>
      <c r="Q21" s="245"/>
      <c r="R21" s="246"/>
      <c r="S21" s="245"/>
      <c r="T21" s="246"/>
      <c r="U21" s="244"/>
      <c r="V21" s="244"/>
      <c r="W21" s="244"/>
      <c r="X21" s="244"/>
      <c r="Y21" s="153"/>
      <c r="AA21" s="80"/>
    </row>
    <row r="22" spans="1:27" ht="15" x14ac:dyDescent="0.25">
      <c r="A22" s="150" t="str">
        <f>'Orçamento Sintético'!A78</f>
        <v xml:space="preserve"> 1.7 </v>
      </c>
      <c r="B22" s="58" t="str">
        <f>'Orçamento Sintético'!B78</f>
        <v>IMPLANTAÇÃO ASFÁLTICA - PAVIMENTAÇÃO DA CAPA</v>
      </c>
      <c r="C22" s="62">
        <f>'Orçamento Sintético'!I78</f>
        <v>720700.81000000017</v>
      </c>
      <c r="D22" s="65">
        <f>C22/$C$30</f>
        <v>0.15017097301329596</v>
      </c>
      <c r="E22" s="69">
        <f>F22*$C$22</f>
        <v>0</v>
      </c>
      <c r="F22" s="70"/>
      <c r="G22" s="69">
        <f>H22*$C$22</f>
        <v>0</v>
      </c>
      <c r="H22" s="70"/>
      <c r="I22" s="69">
        <f>J22*$C$22</f>
        <v>0</v>
      </c>
      <c r="J22" s="70"/>
      <c r="K22" s="69">
        <f>L22*$C$22</f>
        <v>0</v>
      </c>
      <c r="L22" s="70"/>
      <c r="M22" s="69">
        <f>N22*$C$22</f>
        <v>0</v>
      </c>
      <c r="N22" s="70"/>
      <c r="O22" s="69">
        <f>P22*$C$22</f>
        <v>216210.24300000005</v>
      </c>
      <c r="P22" s="70">
        <v>0.3</v>
      </c>
      <c r="Q22" s="69">
        <f>R22*$C$22</f>
        <v>288280.32400000008</v>
      </c>
      <c r="R22" s="70">
        <v>0.4</v>
      </c>
      <c r="S22" s="69">
        <f>T22*$C$22</f>
        <v>216210.24300000005</v>
      </c>
      <c r="T22" s="70">
        <v>0.3</v>
      </c>
      <c r="U22" s="70"/>
      <c r="V22" s="70"/>
      <c r="W22" s="69">
        <f>X22*$C$22</f>
        <v>0</v>
      </c>
      <c r="X22" s="78"/>
      <c r="Y22" s="153">
        <f>E22+G22+I22+K22+M22+O22+Q22+S22+U22+W22</f>
        <v>720700.81000000017</v>
      </c>
      <c r="AA22" s="80"/>
    </row>
    <row r="23" spans="1:27" ht="15" x14ac:dyDescent="0.25">
      <c r="A23" s="150"/>
      <c r="B23" s="58"/>
      <c r="C23" s="61"/>
      <c r="D23" s="51"/>
      <c r="E23" s="242"/>
      <c r="F23" s="243"/>
      <c r="G23" s="244"/>
      <c r="H23" s="244"/>
      <c r="I23" s="244"/>
      <c r="J23" s="244"/>
      <c r="K23" s="251"/>
      <c r="L23" s="252"/>
      <c r="M23" s="251"/>
      <c r="N23" s="252"/>
      <c r="O23" s="245"/>
      <c r="P23" s="246"/>
      <c r="Q23" s="245"/>
      <c r="R23" s="246"/>
      <c r="S23" s="245"/>
      <c r="T23" s="246"/>
      <c r="U23" s="126"/>
      <c r="V23" s="126"/>
      <c r="W23" s="242"/>
      <c r="X23" s="243"/>
      <c r="Y23" s="153"/>
      <c r="AA23" s="80"/>
    </row>
    <row r="24" spans="1:27" ht="15" x14ac:dyDescent="0.25">
      <c r="A24" s="150" t="str">
        <f>'Orçamento Sintético'!A83</f>
        <v xml:space="preserve"> 1.8 </v>
      </c>
      <c r="B24" s="58" t="str">
        <f>'Orçamento Sintético'!B83</f>
        <v>SERVIÇOS COMPLEMENTARES</v>
      </c>
      <c r="C24" s="62">
        <f>'Orçamento Sintético'!I83</f>
        <v>280505.78000000003</v>
      </c>
      <c r="D24" s="65">
        <f>C24/$C$30</f>
        <v>5.8448423165298691E-2</v>
      </c>
      <c r="E24" s="69">
        <f>F24*$C$24</f>
        <v>0</v>
      </c>
      <c r="F24" s="70"/>
      <c r="G24" s="69">
        <f>H24*$C$24</f>
        <v>0</v>
      </c>
      <c r="H24" s="70"/>
      <c r="I24" s="69">
        <f>J24*$C$24</f>
        <v>0</v>
      </c>
      <c r="J24" s="70"/>
      <c r="K24" s="69">
        <f>L24*$C$24</f>
        <v>0</v>
      </c>
      <c r="L24" s="70"/>
      <c r="M24" s="69">
        <f>N24*$C$24</f>
        <v>0</v>
      </c>
      <c r="N24" s="70"/>
      <c r="O24" s="69">
        <f>P24*$C$24</f>
        <v>0</v>
      </c>
      <c r="P24" s="70"/>
      <c r="Q24" s="69">
        <f>R24*$C$24</f>
        <v>0</v>
      </c>
      <c r="R24" s="70"/>
      <c r="S24" s="69">
        <f>T24*$C$24</f>
        <v>28050.578000000005</v>
      </c>
      <c r="T24" s="78">
        <v>0.1</v>
      </c>
      <c r="U24" s="69">
        <f>V24*$C$24</f>
        <v>140252.89000000001</v>
      </c>
      <c r="V24" s="78">
        <v>0.5</v>
      </c>
      <c r="W24" s="69">
        <f>X24*$C$24</f>
        <v>112202.31200000002</v>
      </c>
      <c r="X24" s="78">
        <v>0.4</v>
      </c>
      <c r="Y24" s="153">
        <f>E24+G24+I24+K24+M24+O24+Q24+S24+U24+W24</f>
        <v>280505.78000000003</v>
      </c>
      <c r="AA24" s="80"/>
    </row>
    <row r="25" spans="1:27" ht="15" x14ac:dyDescent="0.25">
      <c r="A25" s="150"/>
      <c r="B25" s="58"/>
      <c r="C25" s="62"/>
      <c r="D25" s="49"/>
      <c r="E25" s="242"/>
      <c r="F25" s="243"/>
      <c r="G25" s="242"/>
      <c r="H25" s="243"/>
      <c r="I25" s="242"/>
      <c r="J25" s="243"/>
      <c r="K25" s="239"/>
      <c r="L25" s="240"/>
      <c r="M25" s="239"/>
      <c r="N25" s="240"/>
      <c r="O25" s="239"/>
      <c r="P25" s="240"/>
      <c r="Q25" s="239"/>
      <c r="R25" s="240"/>
      <c r="S25" s="237"/>
      <c r="T25" s="238"/>
      <c r="U25" s="237"/>
      <c r="V25" s="238"/>
      <c r="W25" s="237"/>
      <c r="X25" s="238"/>
      <c r="Y25" s="153"/>
      <c r="AA25" s="80"/>
    </row>
    <row r="26" spans="1:27" ht="15" x14ac:dyDescent="0.25">
      <c r="A26" s="150" t="str">
        <f>'Orçamento Sintético'!A87</f>
        <v xml:space="preserve"> 1.9 </v>
      </c>
      <c r="B26" s="58" t="str">
        <f>'Orçamento Sintético'!B87</f>
        <v>PASSEIO COM ACESSIBILIDADE</v>
      </c>
      <c r="C26" s="62">
        <f>'Orçamento Sintético'!I87</f>
        <v>589851.68000000005</v>
      </c>
      <c r="D26" s="65">
        <f>C26/$C$30</f>
        <v>0.12290620391994186</v>
      </c>
      <c r="E26" s="69">
        <f>F26*$C$26</f>
        <v>0</v>
      </c>
      <c r="F26" s="70"/>
      <c r="G26" s="69">
        <f>H26*$C$26</f>
        <v>0</v>
      </c>
      <c r="H26" s="70"/>
      <c r="I26" s="69">
        <f>J26*$C$26</f>
        <v>0</v>
      </c>
      <c r="J26" s="70"/>
      <c r="K26" s="69">
        <f>L26*$C$26</f>
        <v>0</v>
      </c>
      <c r="L26" s="70"/>
      <c r="M26" s="69">
        <f>N26*$C$26</f>
        <v>0</v>
      </c>
      <c r="N26" s="70"/>
      <c r="O26" s="69">
        <f>P26*$C$26</f>
        <v>0</v>
      </c>
      <c r="P26" s="70"/>
      <c r="Q26" s="69">
        <f>R26*$C$26</f>
        <v>0</v>
      </c>
      <c r="R26" s="70"/>
      <c r="S26" s="69">
        <f>T26*$C$26</f>
        <v>58985.168000000005</v>
      </c>
      <c r="T26" s="78">
        <v>0.1</v>
      </c>
      <c r="U26" s="69">
        <f>V26*$C$26</f>
        <v>294925.84000000003</v>
      </c>
      <c r="V26" s="78">
        <v>0.5</v>
      </c>
      <c r="W26" s="69">
        <f>X26*$C$26</f>
        <v>235940.67200000002</v>
      </c>
      <c r="X26" s="78">
        <v>0.4</v>
      </c>
      <c r="Y26" s="153">
        <f>E26+G26+I26+K26+M26+O26+Q26+S26+U26+W26</f>
        <v>589851.68000000005</v>
      </c>
      <c r="AA26" s="80"/>
    </row>
    <row r="27" spans="1:27" ht="15" x14ac:dyDescent="0.25">
      <c r="A27" s="150"/>
      <c r="B27" s="58"/>
      <c r="C27" s="61"/>
      <c r="D27" s="51"/>
      <c r="E27" s="242"/>
      <c r="F27" s="243"/>
      <c r="G27" s="242"/>
      <c r="H27" s="243"/>
      <c r="I27" s="242"/>
      <c r="J27" s="243"/>
      <c r="K27" s="239"/>
      <c r="L27" s="240"/>
      <c r="M27" s="239"/>
      <c r="N27" s="240"/>
      <c r="O27" s="239"/>
      <c r="P27" s="240"/>
      <c r="Q27" s="239"/>
      <c r="R27" s="240"/>
      <c r="S27" s="241"/>
      <c r="T27" s="241"/>
      <c r="U27" s="241"/>
      <c r="V27" s="241"/>
      <c r="W27" s="241"/>
      <c r="X27" s="241"/>
      <c r="Y27" s="153"/>
      <c r="AA27" s="80"/>
    </row>
    <row r="28" spans="1:27" ht="15" x14ac:dyDescent="0.2">
      <c r="A28" s="150" t="str">
        <f>'Orçamento Sintético'!A98</f>
        <v xml:space="preserve"> 1.10 </v>
      </c>
      <c r="B28" s="58" t="str">
        <f>'Orçamento Sintético'!B98</f>
        <v>SINALIZAÇÃO VIÁRIA DEFINITIVA - HORIZONTAL E VERTICAL</v>
      </c>
      <c r="C28" s="71">
        <f>'Orçamento Sintético'!I98</f>
        <v>167141.56000000003</v>
      </c>
      <c r="D28" s="72">
        <f>C28/$C$30</f>
        <v>3.4826949474581814E-2</v>
      </c>
      <c r="E28" s="73">
        <f>F28*$C$28</f>
        <v>0</v>
      </c>
      <c r="F28" s="74"/>
      <c r="G28" s="73">
        <f>H28*$C$28</f>
        <v>0</v>
      </c>
      <c r="H28" s="74"/>
      <c r="I28" s="73">
        <f>J28*$C$28</f>
        <v>0</v>
      </c>
      <c r="J28" s="74"/>
      <c r="K28" s="73">
        <f>L28*$C$28</f>
        <v>0</v>
      </c>
      <c r="L28" s="74"/>
      <c r="M28" s="73">
        <f>N28*$C$28</f>
        <v>0</v>
      </c>
      <c r="N28" s="74"/>
      <c r="O28" s="74"/>
      <c r="P28" s="74"/>
      <c r="Q28" s="74"/>
      <c r="R28" s="74"/>
      <c r="S28" s="74"/>
      <c r="T28" s="74"/>
      <c r="U28" s="73">
        <f>V28*$C$28</f>
        <v>83570.780000000013</v>
      </c>
      <c r="V28" s="128">
        <v>0.5</v>
      </c>
      <c r="W28" s="73">
        <f>X28*$C$28</f>
        <v>83570.780000000013</v>
      </c>
      <c r="X28" s="128">
        <v>0.5</v>
      </c>
      <c r="Y28" s="153">
        <f>E28+G28+I28+K28+M28+O28+Q28+S28+U28+W28</f>
        <v>167141.56000000003</v>
      </c>
      <c r="AA28" s="80"/>
    </row>
    <row r="29" spans="1:27" ht="15" x14ac:dyDescent="0.2">
      <c r="A29" s="150"/>
      <c r="B29" s="58"/>
      <c r="C29" s="60"/>
      <c r="D29" s="52"/>
      <c r="E29" s="253"/>
      <c r="F29" s="254"/>
      <c r="G29" s="253"/>
      <c r="H29" s="254"/>
      <c r="I29" s="253"/>
      <c r="J29" s="254"/>
      <c r="K29" s="255"/>
      <c r="L29" s="256"/>
      <c r="M29" s="255"/>
      <c r="N29" s="256"/>
      <c r="O29" s="127"/>
      <c r="P29" s="127"/>
      <c r="Q29" s="127"/>
      <c r="R29" s="127"/>
      <c r="S29" s="127"/>
      <c r="T29" s="127"/>
      <c r="U29" s="257"/>
      <c r="V29" s="258"/>
      <c r="W29" s="257"/>
      <c r="X29" s="258"/>
      <c r="Y29" s="154"/>
    </row>
    <row r="30" spans="1:27" ht="15" x14ac:dyDescent="0.25">
      <c r="A30" s="155"/>
      <c r="B30" s="63" t="s">
        <v>242</v>
      </c>
      <c r="C30" s="64">
        <f>SUM(C10:C29)</f>
        <v>4799201.8399999989</v>
      </c>
      <c r="D30" s="66">
        <f>SUM(D10:D29)</f>
        <v>1.0000000000000002</v>
      </c>
      <c r="E30" s="69">
        <f>E10+E12+E14+E16+E18+E20+E22+E24+E26+E28</f>
        <v>130204.64499999999</v>
      </c>
      <c r="F30" s="81">
        <f>E30/C30</f>
        <v>2.7130479054825504E-2</v>
      </c>
      <c r="G30" s="69">
        <f>G10+G12+G14+G16+G18+G20+G22+G24+G26+G28</f>
        <v>332858.62099999998</v>
      </c>
      <c r="H30" s="81">
        <f>G30/C30</f>
        <v>6.9357078967947738E-2</v>
      </c>
      <c r="I30" s="69">
        <f>I10+I12+I14+I16+I18+I20+I22+I24+I26+I28</f>
        <v>469517.76</v>
      </c>
      <c r="J30" s="81">
        <f>I30/C30</f>
        <v>9.7832467908872137E-2</v>
      </c>
      <c r="K30" s="69">
        <f>K10+K12+K14+K16+K18+K20+K22+K24+K26+K28</f>
        <v>420517.13500000001</v>
      </c>
      <c r="L30" s="81">
        <f>K30/C30</f>
        <v>8.7622306587547091E-2</v>
      </c>
      <c r="M30" s="69">
        <f>M10+M12+M14+M16+M18+M20+M22+M24+M26+M28</f>
        <v>860007.61599999981</v>
      </c>
      <c r="N30" s="81">
        <f>M30/$C$30</f>
        <v>0.17919805098257754</v>
      </c>
      <c r="O30" s="69">
        <f>O10+O12+O14+O16+O18+O20+O22+O24+O26+O28</f>
        <v>434831.81400000001</v>
      </c>
      <c r="P30" s="81">
        <f>O30/$C$30</f>
        <v>9.0605027355965526E-2</v>
      </c>
      <c r="Q30" s="69">
        <f>Q10+Q12+Q14+Q16+Q18+Q20+Q22+Q24+Q26+Q28</f>
        <v>703102.80900000012</v>
      </c>
      <c r="R30" s="81">
        <f>Q30/$C$30</f>
        <v>0.14650411306726793</v>
      </c>
      <c r="S30" s="69">
        <f>S10+S12+S14+S16+S18+S20+S22+S24+S26+S28</f>
        <v>475757.25599999999</v>
      </c>
      <c r="T30" s="81">
        <f>S30/$C$30</f>
        <v>9.9132579095693979E-2</v>
      </c>
      <c r="U30" s="69">
        <f>U10+U12+U14+U16+U18+U20+U22+U24+U26+U28</f>
        <v>529719.96500000008</v>
      </c>
      <c r="V30" s="81">
        <f>U30/$C$30</f>
        <v>0.11037667984391342</v>
      </c>
      <c r="W30" s="69">
        <f>W10+W12+W14+W16+W18+W20+W22+W24+W26+W28</f>
        <v>442684.21900000004</v>
      </c>
      <c r="X30" s="81">
        <f>W30/$C$30</f>
        <v>9.2241217135389353E-2</v>
      </c>
      <c r="Y30" s="153"/>
    </row>
    <row r="31" spans="1:27" ht="15.75" thickBot="1" x14ac:dyDescent="0.3">
      <c r="A31" s="156"/>
      <c r="B31" s="157" t="s">
        <v>243</v>
      </c>
      <c r="C31" s="158"/>
      <c r="D31" s="159"/>
      <c r="E31" s="160">
        <f>E30</f>
        <v>130204.64499999999</v>
      </c>
      <c r="F31" s="161">
        <f>E31/C30</f>
        <v>2.7130479054825504E-2</v>
      </c>
      <c r="G31" s="160">
        <f>E31+G30</f>
        <v>463063.26599999995</v>
      </c>
      <c r="H31" s="161">
        <f>G31/C30</f>
        <v>9.6487558022773229E-2</v>
      </c>
      <c r="I31" s="160">
        <f>I30+G31</f>
        <v>932581.02599999995</v>
      </c>
      <c r="J31" s="161">
        <f>I31/C30</f>
        <v>0.19432002593164538</v>
      </c>
      <c r="K31" s="162">
        <f>K30+I31</f>
        <v>1353098.1609999998</v>
      </c>
      <c r="L31" s="161">
        <f>K31/C30</f>
        <v>0.28194233251919243</v>
      </c>
      <c r="M31" s="162">
        <f>M30+K31</f>
        <v>2213105.7769999998</v>
      </c>
      <c r="N31" s="161">
        <f>M31/$C$30</f>
        <v>0.46114038350177</v>
      </c>
      <c r="O31" s="162">
        <f>O30+M31</f>
        <v>2647937.591</v>
      </c>
      <c r="P31" s="161">
        <f>O31/$C$30</f>
        <v>0.55174541085773554</v>
      </c>
      <c r="Q31" s="162">
        <f>Q30+O31</f>
        <v>3351040.4000000004</v>
      </c>
      <c r="R31" s="161">
        <f>Q31/$C$30</f>
        <v>0.69824952392500361</v>
      </c>
      <c r="S31" s="162">
        <f>S30+Q31</f>
        <v>3826797.6560000004</v>
      </c>
      <c r="T31" s="161">
        <f>S31/$C$30</f>
        <v>0.79738210302069756</v>
      </c>
      <c r="U31" s="162">
        <f>U30+S31</f>
        <v>4356517.6210000003</v>
      </c>
      <c r="V31" s="161">
        <f>U31/$C$30</f>
        <v>0.90775878286461098</v>
      </c>
      <c r="W31" s="162">
        <f>W30+U31</f>
        <v>4799201.84</v>
      </c>
      <c r="X31" s="161">
        <f>W31/$C$30</f>
        <v>1.0000000000000002</v>
      </c>
      <c r="Y31" s="163"/>
    </row>
  </sheetData>
  <mergeCells count="112">
    <mergeCell ref="O25:P25"/>
    <mergeCell ref="Q25:R25"/>
    <mergeCell ref="S25:T25"/>
    <mergeCell ref="U25:V25"/>
    <mergeCell ref="U21:V21"/>
    <mergeCell ref="O27:P27"/>
    <mergeCell ref="Q27:R27"/>
    <mergeCell ref="S27:T27"/>
    <mergeCell ref="U27:V27"/>
    <mergeCell ref="O13:P13"/>
    <mergeCell ref="Q13:R13"/>
    <mergeCell ref="S13:T13"/>
    <mergeCell ref="U13:V13"/>
    <mergeCell ref="O15:P15"/>
    <mergeCell ref="Q15:R15"/>
    <mergeCell ref="S15:T15"/>
    <mergeCell ref="U15:V15"/>
    <mergeCell ref="O17:P17"/>
    <mergeCell ref="Q17:R17"/>
    <mergeCell ref="W19:X19"/>
    <mergeCell ref="G21:H21"/>
    <mergeCell ref="I21:J21"/>
    <mergeCell ref="W21:X21"/>
    <mergeCell ref="G23:H23"/>
    <mergeCell ref="G25:H25"/>
    <mergeCell ref="E25:F25"/>
    <mergeCell ref="M13:N13"/>
    <mergeCell ref="K13:L13"/>
    <mergeCell ref="I13:J13"/>
    <mergeCell ref="G13:H13"/>
    <mergeCell ref="K17:L17"/>
    <mergeCell ref="K19:L19"/>
    <mergeCell ref="K21:L21"/>
    <mergeCell ref="K23:L23"/>
    <mergeCell ref="E19:F19"/>
    <mergeCell ref="E21:F21"/>
    <mergeCell ref="E23:F23"/>
    <mergeCell ref="E15:F15"/>
    <mergeCell ref="E17:F17"/>
    <mergeCell ref="G17:H17"/>
    <mergeCell ref="I23:J23"/>
    <mergeCell ref="O19:P19"/>
    <mergeCell ref="O21:P21"/>
    <mergeCell ref="M17:N17"/>
    <mergeCell ref="O23:P23"/>
    <mergeCell ref="Q23:R23"/>
    <mergeCell ref="S23:T23"/>
    <mergeCell ref="S17:T17"/>
    <mergeCell ref="U17:V17"/>
    <mergeCell ref="Q19:R19"/>
    <mergeCell ref="S19:T19"/>
    <mergeCell ref="U19:V19"/>
    <mergeCell ref="Q21:R21"/>
    <mergeCell ref="S21:T21"/>
    <mergeCell ref="E29:F29"/>
    <mergeCell ref="E27:F27"/>
    <mergeCell ref="G27:H27"/>
    <mergeCell ref="I27:J27"/>
    <mergeCell ref="K29:L29"/>
    <mergeCell ref="K27:L27"/>
    <mergeCell ref="W29:X29"/>
    <mergeCell ref="I29:J29"/>
    <mergeCell ref="G29:H29"/>
    <mergeCell ref="M27:N27"/>
    <mergeCell ref="M29:N29"/>
    <mergeCell ref="U29:V29"/>
    <mergeCell ref="W25:X25"/>
    <mergeCell ref="M25:N25"/>
    <mergeCell ref="W27:X27"/>
    <mergeCell ref="K25:L25"/>
    <mergeCell ref="I25:J25"/>
    <mergeCell ref="I17:J17"/>
    <mergeCell ref="G19:H19"/>
    <mergeCell ref="I19:J19"/>
    <mergeCell ref="E11:F11"/>
    <mergeCell ref="G11:H11"/>
    <mergeCell ref="I11:J11"/>
    <mergeCell ref="W11:X11"/>
    <mergeCell ref="E13:F13"/>
    <mergeCell ref="W13:X13"/>
    <mergeCell ref="W15:X15"/>
    <mergeCell ref="M15:N15"/>
    <mergeCell ref="K15:L15"/>
    <mergeCell ref="G15:H15"/>
    <mergeCell ref="I15:J15"/>
    <mergeCell ref="W17:X17"/>
    <mergeCell ref="W23:X23"/>
    <mergeCell ref="M23:N23"/>
    <mergeCell ref="M21:N21"/>
    <mergeCell ref="M19:N19"/>
    <mergeCell ref="B5:W5"/>
    <mergeCell ref="Y3:Y5"/>
    <mergeCell ref="X4:X5"/>
    <mergeCell ref="A1:Y1"/>
    <mergeCell ref="A2:Y2"/>
    <mergeCell ref="B3:W3"/>
    <mergeCell ref="B4:W4"/>
    <mergeCell ref="A6:Y6"/>
    <mergeCell ref="A7:A9"/>
    <mergeCell ref="B7:B9"/>
    <mergeCell ref="C7:D8"/>
    <mergeCell ref="E7:F8"/>
    <mergeCell ref="G7:H8"/>
    <mergeCell ref="I7:J8"/>
    <mergeCell ref="W7:X8"/>
    <mergeCell ref="Y7:Y8"/>
    <mergeCell ref="K7:L8"/>
    <mergeCell ref="M7:N8"/>
    <mergeCell ref="O7:P8"/>
    <mergeCell ref="Q7:R8"/>
    <mergeCell ref="S7:T8"/>
    <mergeCell ref="U7:V8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headerFooter>
    <oddFooter xml:space="preserve">&amp;CENG. CIVIL WANESSA M. LELIS BASSO
CREA/MS 8605/D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4"/>
  <sheetViews>
    <sheetView showGridLines="0" tabSelected="1" workbookViewId="0">
      <selection activeCell="C6" sqref="C6:I6"/>
    </sheetView>
  </sheetViews>
  <sheetFormatPr defaultRowHeight="14.25" x14ac:dyDescent="0.2"/>
  <cols>
    <col min="1" max="1" width="2.375" style="34" customWidth="1"/>
    <col min="2" max="6" width="9" style="34"/>
    <col min="7" max="7" width="8.375" style="34" bestFit="1" customWidth="1"/>
    <col min="8" max="8" width="7.625" style="34" customWidth="1"/>
    <col min="9" max="9" width="11.25" style="34" customWidth="1"/>
    <col min="10" max="10" width="12.375" style="34" customWidth="1"/>
    <col min="11" max="262" width="9" style="34"/>
    <col min="263" max="263" width="8.375" style="34" bestFit="1" customWidth="1"/>
    <col min="264" max="264" width="7.625" style="34" customWidth="1"/>
    <col min="265" max="265" width="11.25" style="34" customWidth="1"/>
    <col min="266" max="266" width="12.375" style="34" customWidth="1"/>
    <col min="267" max="518" width="9" style="34"/>
    <col min="519" max="519" width="8.375" style="34" bestFit="1" customWidth="1"/>
    <col min="520" max="520" width="7.625" style="34" customWidth="1"/>
    <col min="521" max="521" width="11.25" style="34" customWidth="1"/>
    <col min="522" max="522" width="12.375" style="34" customWidth="1"/>
    <col min="523" max="774" width="9" style="34"/>
    <col min="775" max="775" width="8.375" style="34" bestFit="1" customWidth="1"/>
    <col min="776" max="776" width="7.625" style="34" customWidth="1"/>
    <col min="777" max="777" width="11.25" style="34" customWidth="1"/>
    <col min="778" max="778" width="12.375" style="34" customWidth="1"/>
    <col min="779" max="1030" width="9" style="34"/>
    <col min="1031" max="1031" width="8.375" style="34" bestFit="1" customWidth="1"/>
    <col min="1032" max="1032" width="7.625" style="34" customWidth="1"/>
    <col min="1033" max="1033" width="11.25" style="34" customWidth="1"/>
    <col min="1034" max="1034" width="12.375" style="34" customWidth="1"/>
    <col min="1035" max="1286" width="9" style="34"/>
    <col min="1287" max="1287" width="8.375" style="34" bestFit="1" customWidth="1"/>
    <col min="1288" max="1288" width="7.625" style="34" customWidth="1"/>
    <col min="1289" max="1289" width="11.25" style="34" customWidth="1"/>
    <col min="1290" max="1290" width="12.375" style="34" customWidth="1"/>
    <col min="1291" max="1542" width="9" style="34"/>
    <col min="1543" max="1543" width="8.375" style="34" bestFit="1" customWidth="1"/>
    <col min="1544" max="1544" width="7.625" style="34" customWidth="1"/>
    <col min="1545" max="1545" width="11.25" style="34" customWidth="1"/>
    <col min="1546" max="1546" width="12.375" style="34" customWidth="1"/>
    <col min="1547" max="1798" width="9" style="34"/>
    <col min="1799" max="1799" width="8.375" style="34" bestFit="1" customWidth="1"/>
    <col min="1800" max="1800" width="7.625" style="34" customWidth="1"/>
    <col min="1801" max="1801" width="11.25" style="34" customWidth="1"/>
    <col min="1802" max="1802" width="12.375" style="34" customWidth="1"/>
    <col min="1803" max="2054" width="9" style="34"/>
    <col min="2055" max="2055" width="8.375" style="34" bestFit="1" customWidth="1"/>
    <col min="2056" max="2056" width="7.625" style="34" customWidth="1"/>
    <col min="2057" max="2057" width="11.25" style="34" customWidth="1"/>
    <col min="2058" max="2058" width="12.375" style="34" customWidth="1"/>
    <col min="2059" max="2310" width="9" style="34"/>
    <col min="2311" max="2311" width="8.375" style="34" bestFit="1" customWidth="1"/>
    <col min="2312" max="2312" width="7.625" style="34" customWidth="1"/>
    <col min="2313" max="2313" width="11.25" style="34" customWidth="1"/>
    <col min="2314" max="2314" width="12.375" style="34" customWidth="1"/>
    <col min="2315" max="2566" width="9" style="34"/>
    <col min="2567" max="2567" width="8.375" style="34" bestFit="1" customWidth="1"/>
    <col min="2568" max="2568" width="7.625" style="34" customWidth="1"/>
    <col min="2569" max="2569" width="11.25" style="34" customWidth="1"/>
    <col min="2570" max="2570" width="12.375" style="34" customWidth="1"/>
    <col min="2571" max="2822" width="9" style="34"/>
    <col min="2823" max="2823" width="8.375" style="34" bestFit="1" customWidth="1"/>
    <col min="2824" max="2824" width="7.625" style="34" customWidth="1"/>
    <col min="2825" max="2825" width="11.25" style="34" customWidth="1"/>
    <col min="2826" max="2826" width="12.375" style="34" customWidth="1"/>
    <col min="2827" max="3078" width="9" style="34"/>
    <col min="3079" max="3079" width="8.375" style="34" bestFit="1" customWidth="1"/>
    <col min="3080" max="3080" width="7.625" style="34" customWidth="1"/>
    <col min="3081" max="3081" width="11.25" style="34" customWidth="1"/>
    <col min="3082" max="3082" width="12.375" style="34" customWidth="1"/>
    <col min="3083" max="3334" width="9" style="34"/>
    <col min="3335" max="3335" width="8.375" style="34" bestFit="1" customWidth="1"/>
    <col min="3336" max="3336" width="7.625" style="34" customWidth="1"/>
    <col min="3337" max="3337" width="11.25" style="34" customWidth="1"/>
    <col min="3338" max="3338" width="12.375" style="34" customWidth="1"/>
    <col min="3339" max="3590" width="9" style="34"/>
    <col min="3591" max="3591" width="8.375" style="34" bestFit="1" customWidth="1"/>
    <col min="3592" max="3592" width="7.625" style="34" customWidth="1"/>
    <col min="3593" max="3593" width="11.25" style="34" customWidth="1"/>
    <col min="3594" max="3594" width="12.375" style="34" customWidth="1"/>
    <col min="3595" max="3846" width="9" style="34"/>
    <col min="3847" max="3847" width="8.375" style="34" bestFit="1" customWidth="1"/>
    <col min="3848" max="3848" width="7.625" style="34" customWidth="1"/>
    <col min="3849" max="3849" width="11.25" style="34" customWidth="1"/>
    <col min="3850" max="3850" width="12.375" style="34" customWidth="1"/>
    <col min="3851" max="4102" width="9" style="34"/>
    <col min="4103" max="4103" width="8.375" style="34" bestFit="1" customWidth="1"/>
    <col min="4104" max="4104" width="7.625" style="34" customWidth="1"/>
    <col min="4105" max="4105" width="11.25" style="34" customWidth="1"/>
    <col min="4106" max="4106" width="12.375" style="34" customWidth="1"/>
    <col min="4107" max="4358" width="9" style="34"/>
    <col min="4359" max="4359" width="8.375" style="34" bestFit="1" customWidth="1"/>
    <col min="4360" max="4360" width="7.625" style="34" customWidth="1"/>
    <col min="4361" max="4361" width="11.25" style="34" customWidth="1"/>
    <col min="4362" max="4362" width="12.375" style="34" customWidth="1"/>
    <col min="4363" max="4614" width="9" style="34"/>
    <col min="4615" max="4615" width="8.375" style="34" bestFit="1" customWidth="1"/>
    <col min="4616" max="4616" width="7.625" style="34" customWidth="1"/>
    <col min="4617" max="4617" width="11.25" style="34" customWidth="1"/>
    <col min="4618" max="4618" width="12.375" style="34" customWidth="1"/>
    <col min="4619" max="4870" width="9" style="34"/>
    <col min="4871" max="4871" width="8.375" style="34" bestFit="1" customWidth="1"/>
    <col min="4872" max="4872" width="7.625" style="34" customWidth="1"/>
    <col min="4873" max="4873" width="11.25" style="34" customWidth="1"/>
    <col min="4874" max="4874" width="12.375" style="34" customWidth="1"/>
    <col min="4875" max="5126" width="9" style="34"/>
    <col min="5127" max="5127" width="8.375" style="34" bestFit="1" customWidth="1"/>
    <col min="5128" max="5128" width="7.625" style="34" customWidth="1"/>
    <col min="5129" max="5129" width="11.25" style="34" customWidth="1"/>
    <col min="5130" max="5130" width="12.375" style="34" customWidth="1"/>
    <col min="5131" max="5382" width="9" style="34"/>
    <col min="5383" max="5383" width="8.375" style="34" bestFit="1" customWidth="1"/>
    <col min="5384" max="5384" width="7.625" style="34" customWidth="1"/>
    <col min="5385" max="5385" width="11.25" style="34" customWidth="1"/>
    <col min="5386" max="5386" width="12.375" style="34" customWidth="1"/>
    <col min="5387" max="5638" width="9" style="34"/>
    <col min="5639" max="5639" width="8.375" style="34" bestFit="1" customWidth="1"/>
    <col min="5640" max="5640" width="7.625" style="34" customWidth="1"/>
    <col min="5641" max="5641" width="11.25" style="34" customWidth="1"/>
    <col min="5642" max="5642" width="12.375" style="34" customWidth="1"/>
    <col min="5643" max="5894" width="9" style="34"/>
    <col min="5895" max="5895" width="8.375" style="34" bestFit="1" customWidth="1"/>
    <col min="5896" max="5896" width="7.625" style="34" customWidth="1"/>
    <col min="5897" max="5897" width="11.25" style="34" customWidth="1"/>
    <col min="5898" max="5898" width="12.375" style="34" customWidth="1"/>
    <col min="5899" max="6150" width="9" style="34"/>
    <col min="6151" max="6151" width="8.375" style="34" bestFit="1" customWidth="1"/>
    <col min="6152" max="6152" width="7.625" style="34" customWidth="1"/>
    <col min="6153" max="6153" width="11.25" style="34" customWidth="1"/>
    <col min="6154" max="6154" width="12.375" style="34" customWidth="1"/>
    <col min="6155" max="6406" width="9" style="34"/>
    <col min="6407" max="6407" width="8.375" style="34" bestFit="1" customWidth="1"/>
    <col min="6408" max="6408" width="7.625" style="34" customWidth="1"/>
    <col min="6409" max="6409" width="11.25" style="34" customWidth="1"/>
    <col min="6410" max="6410" width="12.375" style="34" customWidth="1"/>
    <col min="6411" max="6662" width="9" style="34"/>
    <col min="6663" max="6663" width="8.375" style="34" bestFit="1" customWidth="1"/>
    <col min="6664" max="6664" width="7.625" style="34" customWidth="1"/>
    <col min="6665" max="6665" width="11.25" style="34" customWidth="1"/>
    <col min="6666" max="6666" width="12.375" style="34" customWidth="1"/>
    <col min="6667" max="6918" width="9" style="34"/>
    <col min="6919" max="6919" width="8.375" style="34" bestFit="1" customWidth="1"/>
    <col min="6920" max="6920" width="7.625" style="34" customWidth="1"/>
    <col min="6921" max="6921" width="11.25" style="34" customWidth="1"/>
    <col min="6922" max="6922" width="12.375" style="34" customWidth="1"/>
    <col min="6923" max="7174" width="9" style="34"/>
    <col min="7175" max="7175" width="8.375" style="34" bestFit="1" customWidth="1"/>
    <col min="7176" max="7176" width="7.625" style="34" customWidth="1"/>
    <col min="7177" max="7177" width="11.25" style="34" customWidth="1"/>
    <col min="7178" max="7178" width="12.375" style="34" customWidth="1"/>
    <col min="7179" max="7430" width="9" style="34"/>
    <col min="7431" max="7431" width="8.375" style="34" bestFit="1" customWidth="1"/>
    <col min="7432" max="7432" width="7.625" style="34" customWidth="1"/>
    <col min="7433" max="7433" width="11.25" style="34" customWidth="1"/>
    <col min="7434" max="7434" width="12.375" style="34" customWidth="1"/>
    <col min="7435" max="7686" width="9" style="34"/>
    <col min="7687" max="7687" width="8.375" style="34" bestFit="1" customWidth="1"/>
    <col min="7688" max="7688" width="7.625" style="34" customWidth="1"/>
    <col min="7689" max="7689" width="11.25" style="34" customWidth="1"/>
    <col min="7690" max="7690" width="12.375" style="34" customWidth="1"/>
    <col min="7691" max="7942" width="9" style="34"/>
    <col min="7943" max="7943" width="8.375" style="34" bestFit="1" customWidth="1"/>
    <col min="7944" max="7944" width="7.625" style="34" customWidth="1"/>
    <col min="7945" max="7945" width="11.25" style="34" customWidth="1"/>
    <col min="7946" max="7946" width="12.375" style="34" customWidth="1"/>
    <col min="7947" max="8198" width="9" style="34"/>
    <col min="8199" max="8199" width="8.375" style="34" bestFit="1" customWidth="1"/>
    <col min="8200" max="8200" width="7.625" style="34" customWidth="1"/>
    <col min="8201" max="8201" width="11.25" style="34" customWidth="1"/>
    <col min="8202" max="8202" width="12.375" style="34" customWidth="1"/>
    <col min="8203" max="8454" width="9" style="34"/>
    <col min="8455" max="8455" width="8.375" style="34" bestFit="1" customWidth="1"/>
    <col min="8456" max="8456" width="7.625" style="34" customWidth="1"/>
    <col min="8457" max="8457" width="11.25" style="34" customWidth="1"/>
    <col min="8458" max="8458" width="12.375" style="34" customWidth="1"/>
    <col min="8459" max="8710" width="9" style="34"/>
    <col min="8711" max="8711" width="8.375" style="34" bestFit="1" customWidth="1"/>
    <col min="8712" max="8712" width="7.625" style="34" customWidth="1"/>
    <col min="8713" max="8713" width="11.25" style="34" customWidth="1"/>
    <col min="8714" max="8714" width="12.375" style="34" customWidth="1"/>
    <col min="8715" max="8966" width="9" style="34"/>
    <col min="8967" max="8967" width="8.375" style="34" bestFit="1" customWidth="1"/>
    <col min="8968" max="8968" width="7.625" style="34" customWidth="1"/>
    <col min="8969" max="8969" width="11.25" style="34" customWidth="1"/>
    <col min="8970" max="8970" width="12.375" style="34" customWidth="1"/>
    <col min="8971" max="9222" width="9" style="34"/>
    <col min="9223" max="9223" width="8.375" style="34" bestFit="1" customWidth="1"/>
    <col min="9224" max="9224" width="7.625" style="34" customWidth="1"/>
    <col min="9225" max="9225" width="11.25" style="34" customWidth="1"/>
    <col min="9226" max="9226" width="12.375" style="34" customWidth="1"/>
    <col min="9227" max="9478" width="9" style="34"/>
    <col min="9479" max="9479" width="8.375" style="34" bestFit="1" customWidth="1"/>
    <col min="9480" max="9480" width="7.625" style="34" customWidth="1"/>
    <col min="9481" max="9481" width="11.25" style="34" customWidth="1"/>
    <col min="9482" max="9482" width="12.375" style="34" customWidth="1"/>
    <col min="9483" max="9734" width="9" style="34"/>
    <col min="9735" max="9735" width="8.375" style="34" bestFit="1" customWidth="1"/>
    <col min="9736" max="9736" width="7.625" style="34" customWidth="1"/>
    <col min="9737" max="9737" width="11.25" style="34" customWidth="1"/>
    <col min="9738" max="9738" width="12.375" style="34" customWidth="1"/>
    <col min="9739" max="9990" width="9" style="34"/>
    <col min="9991" max="9991" width="8.375" style="34" bestFit="1" customWidth="1"/>
    <col min="9992" max="9992" width="7.625" style="34" customWidth="1"/>
    <col min="9993" max="9993" width="11.25" style="34" customWidth="1"/>
    <col min="9994" max="9994" width="12.375" style="34" customWidth="1"/>
    <col min="9995" max="10246" width="9" style="34"/>
    <col min="10247" max="10247" width="8.375" style="34" bestFit="1" customWidth="1"/>
    <col min="10248" max="10248" width="7.625" style="34" customWidth="1"/>
    <col min="10249" max="10249" width="11.25" style="34" customWidth="1"/>
    <col min="10250" max="10250" width="12.375" style="34" customWidth="1"/>
    <col min="10251" max="10502" width="9" style="34"/>
    <col min="10503" max="10503" width="8.375" style="34" bestFit="1" customWidth="1"/>
    <col min="10504" max="10504" width="7.625" style="34" customWidth="1"/>
    <col min="10505" max="10505" width="11.25" style="34" customWidth="1"/>
    <col min="10506" max="10506" width="12.375" style="34" customWidth="1"/>
    <col min="10507" max="10758" width="9" style="34"/>
    <col min="10759" max="10759" width="8.375" style="34" bestFit="1" customWidth="1"/>
    <col min="10760" max="10760" width="7.625" style="34" customWidth="1"/>
    <col min="10761" max="10761" width="11.25" style="34" customWidth="1"/>
    <col min="10762" max="10762" width="12.375" style="34" customWidth="1"/>
    <col min="10763" max="11014" width="9" style="34"/>
    <col min="11015" max="11015" width="8.375" style="34" bestFit="1" customWidth="1"/>
    <col min="11016" max="11016" width="7.625" style="34" customWidth="1"/>
    <col min="11017" max="11017" width="11.25" style="34" customWidth="1"/>
    <col min="11018" max="11018" width="12.375" style="34" customWidth="1"/>
    <col min="11019" max="11270" width="9" style="34"/>
    <col min="11271" max="11271" width="8.375" style="34" bestFit="1" customWidth="1"/>
    <col min="11272" max="11272" width="7.625" style="34" customWidth="1"/>
    <col min="11273" max="11273" width="11.25" style="34" customWidth="1"/>
    <col min="11274" max="11274" width="12.375" style="34" customWidth="1"/>
    <col min="11275" max="11526" width="9" style="34"/>
    <col min="11527" max="11527" width="8.375" style="34" bestFit="1" customWidth="1"/>
    <col min="11528" max="11528" width="7.625" style="34" customWidth="1"/>
    <col min="11529" max="11529" width="11.25" style="34" customWidth="1"/>
    <col min="11530" max="11530" width="12.375" style="34" customWidth="1"/>
    <col min="11531" max="11782" width="9" style="34"/>
    <col min="11783" max="11783" width="8.375" style="34" bestFit="1" customWidth="1"/>
    <col min="11784" max="11784" width="7.625" style="34" customWidth="1"/>
    <col min="11785" max="11785" width="11.25" style="34" customWidth="1"/>
    <col min="11786" max="11786" width="12.375" style="34" customWidth="1"/>
    <col min="11787" max="12038" width="9" style="34"/>
    <col min="12039" max="12039" width="8.375" style="34" bestFit="1" customWidth="1"/>
    <col min="12040" max="12040" width="7.625" style="34" customWidth="1"/>
    <col min="12041" max="12041" width="11.25" style="34" customWidth="1"/>
    <col min="12042" max="12042" width="12.375" style="34" customWidth="1"/>
    <col min="12043" max="12294" width="9" style="34"/>
    <col min="12295" max="12295" width="8.375" style="34" bestFit="1" customWidth="1"/>
    <col min="12296" max="12296" width="7.625" style="34" customWidth="1"/>
    <col min="12297" max="12297" width="11.25" style="34" customWidth="1"/>
    <col min="12298" max="12298" width="12.375" style="34" customWidth="1"/>
    <col min="12299" max="12550" width="9" style="34"/>
    <col min="12551" max="12551" width="8.375" style="34" bestFit="1" customWidth="1"/>
    <col min="12552" max="12552" width="7.625" style="34" customWidth="1"/>
    <col min="12553" max="12553" width="11.25" style="34" customWidth="1"/>
    <col min="12554" max="12554" width="12.375" style="34" customWidth="1"/>
    <col min="12555" max="12806" width="9" style="34"/>
    <col min="12807" max="12807" width="8.375" style="34" bestFit="1" customWidth="1"/>
    <col min="12808" max="12808" width="7.625" style="34" customWidth="1"/>
    <col min="12809" max="12809" width="11.25" style="34" customWidth="1"/>
    <col min="12810" max="12810" width="12.375" style="34" customWidth="1"/>
    <col min="12811" max="13062" width="9" style="34"/>
    <col min="13063" max="13063" width="8.375" style="34" bestFit="1" customWidth="1"/>
    <col min="13064" max="13064" width="7.625" style="34" customWidth="1"/>
    <col min="13065" max="13065" width="11.25" style="34" customWidth="1"/>
    <col min="13066" max="13066" width="12.375" style="34" customWidth="1"/>
    <col min="13067" max="13318" width="9" style="34"/>
    <col min="13319" max="13319" width="8.375" style="34" bestFit="1" customWidth="1"/>
    <col min="13320" max="13320" width="7.625" style="34" customWidth="1"/>
    <col min="13321" max="13321" width="11.25" style="34" customWidth="1"/>
    <col min="13322" max="13322" width="12.375" style="34" customWidth="1"/>
    <col min="13323" max="13574" width="9" style="34"/>
    <col min="13575" max="13575" width="8.375" style="34" bestFit="1" customWidth="1"/>
    <col min="13576" max="13576" width="7.625" style="34" customWidth="1"/>
    <col min="13577" max="13577" width="11.25" style="34" customWidth="1"/>
    <col min="13578" max="13578" width="12.375" style="34" customWidth="1"/>
    <col min="13579" max="13830" width="9" style="34"/>
    <col min="13831" max="13831" width="8.375" style="34" bestFit="1" customWidth="1"/>
    <col min="13832" max="13832" width="7.625" style="34" customWidth="1"/>
    <col min="13833" max="13833" width="11.25" style="34" customWidth="1"/>
    <col min="13834" max="13834" width="12.375" style="34" customWidth="1"/>
    <col min="13835" max="14086" width="9" style="34"/>
    <col min="14087" max="14087" width="8.375" style="34" bestFit="1" customWidth="1"/>
    <col min="14088" max="14088" width="7.625" style="34" customWidth="1"/>
    <col min="14089" max="14089" width="11.25" style="34" customWidth="1"/>
    <col min="14090" max="14090" width="12.375" style="34" customWidth="1"/>
    <col min="14091" max="14342" width="9" style="34"/>
    <col min="14343" max="14343" width="8.375" style="34" bestFit="1" customWidth="1"/>
    <col min="14344" max="14344" width="7.625" style="34" customWidth="1"/>
    <col min="14345" max="14345" width="11.25" style="34" customWidth="1"/>
    <col min="14346" max="14346" width="12.375" style="34" customWidth="1"/>
    <col min="14347" max="14598" width="9" style="34"/>
    <col min="14599" max="14599" width="8.375" style="34" bestFit="1" customWidth="1"/>
    <col min="14600" max="14600" width="7.625" style="34" customWidth="1"/>
    <col min="14601" max="14601" width="11.25" style="34" customWidth="1"/>
    <col min="14602" max="14602" width="12.375" style="34" customWidth="1"/>
    <col min="14603" max="14854" width="9" style="34"/>
    <col min="14855" max="14855" width="8.375" style="34" bestFit="1" customWidth="1"/>
    <col min="14856" max="14856" width="7.625" style="34" customWidth="1"/>
    <col min="14857" max="14857" width="11.25" style="34" customWidth="1"/>
    <col min="14858" max="14858" width="12.375" style="34" customWidth="1"/>
    <col min="14859" max="15110" width="9" style="34"/>
    <col min="15111" max="15111" width="8.375" style="34" bestFit="1" customWidth="1"/>
    <col min="15112" max="15112" width="7.625" style="34" customWidth="1"/>
    <col min="15113" max="15113" width="11.25" style="34" customWidth="1"/>
    <col min="15114" max="15114" width="12.375" style="34" customWidth="1"/>
    <col min="15115" max="15366" width="9" style="34"/>
    <col min="15367" max="15367" width="8.375" style="34" bestFit="1" customWidth="1"/>
    <col min="15368" max="15368" width="7.625" style="34" customWidth="1"/>
    <col min="15369" max="15369" width="11.25" style="34" customWidth="1"/>
    <col min="15370" max="15370" width="12.375" style="34" customWidth="1"/>
    <col min="15371" max="15622" width="9" style="34"/>
    <col min="15623" max="15623" width="8.375" style="34" bestFit="1" customWidth="1"/>
    <col min="15624" max="15624" width="7.625" style="34" customWidth="1"/>
    <col min="15625" max="15625" width="11.25" style="34" customWidth="1"/>
    <col min="15626" max="15626" width="12.375" style="34" customWidth="1"/>
    <col min="15627" max="15878" width="9" style="34"/>
    <col min="15879" max="15879" width="8.375" style="34" bestFit="1" customWidth="1"/>
    <col min="15880" max="15880" width="7.625" style="34" customWidth="1"/>
    <col min="15881" max="15881" width="11.25" style="34" customWidth="1"/>
    <col min="15882" max="15882" width="12.375" style="34" customWidth="1"/>
    <col min="15883" max="16134" width="9" style="34"/>
    <col min="16135" max="16135" width="8.375" style="34" bestFit="1" customWidth="1"/>
    <col min="16136" max="16136" width="7.625" style="34" customWidth="1"/>
    <col min="16137" max="16137" width="11.25" style="34" customWidth="1"/>
    <col min="16138" max="16138" width="12.375" style="34" customWidth="1"/>
    <col min="16139" max="16384" width="9" style="34"/>
  </cols>
  <sheetData>
    <row r="1" spans="2:11" ht="12" customHeight="1" x14ac:dyDescent="0.2"/>
    <row r="2" spans="2:11" ht="90" customHeight="1" x14ac:dyDescent="0.2">
      <c r="B2" s="260"/>
      <c r="C2" s="261"/>
      <c r="D2" s="261"/>
      <c r="E2" s="261"/>
      <c r="F2" s="261"/>
      <c r="G2" s="261"/>
      <c r="H2" s="261"/>
      <c r="I2" s="261"/>
      <c r="J2" s="262"/>
      <c r="K2" s="55"/>
    </row>
    <row r="3" spans="2:11" ht="18.75" x14ac:dyDescent="0.2">
      <c r="B3" s="263" t="s">
        <v>855</v>
      </c>
      <c r="C3" s="264"/>
      <c r="D3" s="264"/>
      <c r="E3" s="264"/>
      <c r="F3" s="264"/>
      <c r="G3" s="264"/>
      <c r="H3" s="264"/>
      <c r="I3" s="264"/>
      <c r="J3" s="265"/>
    </row>
    <row r="4" spans="2:11" ht="16.5" customHeight="1" x14ac:dyDescent="0.2">
      <c r="B4" s="182" t="s">
        <v>195</v>
      </c>
      <c r="C4" s="266" t="s">
        <v>858</v>
      </c>
      <c r="D4" s="266"/>
      <c r="E4" s="266"/>
      <c r="F4" s="266"/>
      <c r="G4" s="266"/>
      <c r="H4" s="266"/>
      <c r="I4" s="266"/>
      <c r="J4" s="36" t="s">
        <v>196</v>
      </c>
    </row>
    <row r="5" spans="2:11" ht="15" x14ac:dyDescent="0.25">
      <c r="B5" s="35" t="s">
        <v>198</v>
      </c>
      <c r="C5" s="267" t="s">
        <v>859</v>
      </c>
      <c r="D5" s="267"/>
      <c r="E5" s="267"/>
      <c r="F5" s="267"/>
      <c r="G5" s="267"/>
      <c r="H5" s="267"/>
      <c r="I5" s="267"/>
      <c r="J5" s="275">
        <f>J22</f>
        <v>0.22470000000000001</v>
      </c>
    </row>
    <row r="6" spans="2:11" ht="15" x14ac:dyDescent="0.25">
      <c r="B6" s="35" t="s">
        <v>199</v>
      </c>
      <c r="C6" s="268" t="s">
        <v>239</v>
      </c>
      <c r="D6" s="268"/>
      <c r="E6" s="268"/>
      <c r="F6" s="268"/>
      <c r="G6" s="268"/>
      <c r="H6" s="268"/>
      <c r="I6" s="268"/>
      <c r="J6" s="276"/>
    </row>
    <row r="7" spans="2:11" ht="15.75" customHeight="1" x14ac:dyDescent="0.2">
      <c r="B7" s="269" t="s">
        <v>238</v>
      </c>
      <c r="C7" s="270"/>
      <c r="D7" s="270"/>
      <c r="E7" s="270"/>
      <c r="F7" s="270"/>
      <c r="G7" s="270"/>
      <c r="H7" s="270"/>
      <c r="I7" s="270"/>
      <c r="J7" s="271"/>
    </row>
    <row r="8" spans="2:11" ht="15.75" customHeight="1" x14ac:dyDescent="0.2">
      <c r="B8" s="37" t="s">
        <v>4</v>
      </c>
      <c r="C8" s="272" t="s">
        <v>200</v>
      </c>
      <c r="D8" s="273"/>
      <c r="E8" s="273"/>
      <c r="F8" s="273"/>
      <c r="G8" s="273"/>
      <c r="H8" s="273"/>
      <c r="I8" s="273"/>
      <c r="J8" s="274"/>
    </row>
    <row r="9" spans="2:11" x14ac:dyDescent="0.2">
      <c r="B9" s="38">
        <v>1</v>
      </c>
      <c r="C9" s="259" t="s">
        <v>201</v>
      </c>
      <c r="D9" s="259"/>
      <c r="E9" s="259"/>
      <c r="F9" s="259"/>
      <c r="G9" s="259"/>
      <c r="H9" s="259"/>
      <c r="I9" s="259"/>
      <c r="J9" s="39">
        <v>0.03</v>
      </c>
    </row>
    <row r="10" spans="2:11" x14ac:dyDescent="0.2">
      <c r="B10" s="38">
        <v>2</v>
      </c>
      <c r="C10" s="259" t="s">
        <v>202</v>
      </c>
      <c r="D10" s="259"/>
      <c r="E10" s="259"/>
      <c r="F10" s="259"/>
      <c r="G10" s="259"/>
      <c r="H10" s="259"/>
      <c r="I10" s="259"/>
      <c r="J10" s="39">
        <v>8.0000000000000002E-3</v>
      </c>
    </row>
    <row r="11" spans="2:11" x14ac:dyDescent="0.2">
      <c r="B11" s="38">
        <v>3</v>
      </c>
      <c r="C11" s="259" t="s">
        <v>203</v>
      </c>
      <c r="D11" s="259"/>
      <c r="E11" s="259"/>
      <c r="F11" s="259"/>
      <c r="G11" s="259"/>
      <c r="H11" s="259"/>
      <c r="I11" s="259"/>
      <c r="J11" s="40">
        <v>9.7000000000000003E-3</v>
      </c>
    </row>
    <row r="12" spans="2:11" x14ac:dyDescent="0.2">
      <c r="B12" s="38">
        <v>4</v>
      </c>
      <c r="C12" s="259" t="s">
        <v>204</v>
      </c>
      <c r="D12" s="259"/>
      <c r="E12" s="259"/>
      <c r="F12" s="259"/>
      <c r="G12" s="259"/>
      <c r="H12" s="259"/>
      <c r="I12" s="259"/>
      <c r="J12" s="39">
        <v>5.8999999999999999E-3</v>
      </c>
    </row>
    <row r="13" spans="2:11" x14ac:dyDescent="0.2">
      <c r="B13" s="38">
        <v>5</v>
      </c>
      <c r="C13" s="259" t="s">
        <v>205</v>
      </c>
      <c r="D13" s="259"/>
      <c r="E13" s="259"/>
      <c r="F13" s="259"/>
      <c r="G13" s="259"/>
      <c r="H13" s="259"/>
      <c r="I13" s="259"/>
      <c r="J13" s="39">
        <v>6.1600000000000002E-2</v>
      </c>
    </row>
    <row r="14" spans="2:11" x14ac:dyDescent="0.2">
      <c r="B14" s="38">
        <v>6</v>
      </c>
      <c r="C14" s="259" t="s">
        <v>206</v>
      </c>
      <c r="D14" s="259"/>
      <c r="E14" s="259"/>
      <c r="F14" s="259"/>
      <c r="G14" s="259"/>
      <c r="H14" s="259"/>
      <c r="I14" s="259"/>
      <c r="J14" s="39">
        <f>J20</f>
        <v>8.6499999999999994E-2</v>
      </c>
    </row>
    <row r="15" spans="2:11" ht="15" x14ac:dyDescent="0.2">
      <c r="B15" s="37" t="s">
        <v>4</v>
      </c>
      <c r="C15" s="284" t="s">
        <v>207</v>
      </c>
      <c r="D15" s="284"/>
      <c r="E15" s="284"/>
      <c r="F15" s="284"/>
      <c r="G15" s="284"/>
      <c r="H15" s="284"/>
      <c r="I15" s="284"/>
      <c r="J15" s="285"/>
    </row>
    <row r="16" spans="2:11" x14ac:dyDescent="0.2">
      <c r="B16" s="38" t="s">
        <v>208</v>
      </c>
      <c r="C16" s="259" t="s">
        <v>209</v>
      </c>
      <c r="D16" s="259"/>
      <c r="E16" s="259"/>
      <c r="F16" s="259"/>
      <c r="G16" s="259"/>
      <c r="H16" s="259"/>
      <c r="I16" s="259"/>
      <c r="J16" s="41">
        <v>0.05</v>
      </c>
    </row>
    <row r="17" spans="2:10" x14ac:dyDescent="0.2">
      <c r="B17" s="38" t="s">
        <v>210</v>
      </c>
      <c r="C17" s="259" t="s">
        <v>211</v>
      </c>
      <c r="D17" s="259"/>
      <c r="E17" s="259"/>
      <c r="F17" s="259"/>
      <c r="G17" s="259"/>
      <c r="H17" s="259"/>
      <c r="I17" s="259"/>
      <c r="J17" s="39">
        <v>6.4999999999999997E-3</v>
      </c>
    </row>
    <row r="18" spans="2:10" x14ac:dyDescent="0.2">
      <c r="B18" s="38" t="s">
        <v>212</v>
      </c>
      <c r="C18" s="259" t="s">
        <v>213</v>
      </c>
      <c r="D18" s="259"/>
      <c r="E18" s="259"/>
      <c r="F18" s="259"/>
      <c r="G18" s="259"/>
      <c r="H18" s="259"/>
      <c r="I18" s="259"/>
      <c r="J18" s="39">
        <v>0.03</v>
      </c>
    </row>
    <row r="19" spans="2:10" x14ac:dyDescent="0.2">
      <c r="B19" s="38" t="s">
        <v>214</v>
      </c>
      <c r="C19" s="259" t="s">
        <v>215</v>
      </c>
      <c r="D19" s="259"/>
      <c r="E19" s="259"/>
      <c r="F19" s="259"/>
      <c r="G19" s="259"/>
      <c r="H19" s="259"/>
      <c r="I19" s="259"/>
      <c r="J19" s="39">
        <v>0</v>
      </c>
    </row>
    <row r="20" spans="2:10" x14ac:dyDescent="0.2">
      <c r="B20" s="286" t="s">
        <v>216</v>
      </c>
      <c r="C20" s="287"/>
      <c r="D20" s="287"/>
      <c r="E20" s="287"/>
      <c r="F20" s="287"/>
      <c r="G20" s="287"/>
      <c r="H20" s="287"/>
      <c r="I20" s="287"/>
      <c r="J20" s="42">
        <f>SUM(J16:J19)</f>
        <v>8.6499999999999994E-2</v>
      </c>
    </row>
    <row r="21" spans="2:10" x14ac:dyDescent="0.2">
      <c r="B21" s="288" t="s">
        <v>217</v>
      </c>
      <c r="C21" s="289"/>
      <c r="D21" s="289"/>
      <c r="E21" s="289"/>
      <c r="F21" s="289"/>
      <c r="G21" s="289"/>
      <c r="H21" s="289"/>
      <c r="I21" s="289"/>
      <c r="J21" s="290"/>
    </row>
    <row r="22" spans="2:10" x14ac:dyDescent="0.2">
      <c r="B22" s="291"/>
      <c r="C22" s="292"/>
      <c r="D22" s="292"/>
      <c r="E22" s="292"/>
      <c r="F22" s="292"/>
      <c r="G22" s="292"/>
      <c r="H22" s="292"/>
      <c r="I22" s="292"/>
      <c r="J22" s="43">
        <f>TRUNC((((1+J9+J10+J11)*(1+J12)*(1+J13))/(1-J14))-1,4)</f>
        <v>0.22470000000000001</v>
      </c>
    </row>
    <row r="23" spans="2:10" x14ac:dyDescent="0.2">
      <c r="B23" s="277" t="s">
        <v>856</v>
      </c>
      <c r="C23" s="278"/>
      <c r="D23" s="279"/>
      <c r="E23" s="279"/>
      <c r="F23" s="279"/>
      <c r="G23" s="279"/>
      <c r="H23" s="279"/>
      <c r="I23" s="279"/>
      <c r="J23" s="280"/>
    </row>
    <row r="24" spans="2:10" x14ac:dyDescent="0.2">
      <c r="B24" s="277"/>
      <c r="C24" s="281"/>
      <c r="D24" s="282"/>
      <c r="E24" s="282"/>
      <c r="F24" s="282"/>
      <c r="G24" s="282"/>
      <c r="H24" s="282"/>
      <c r="I24" s="282"/>
      <c r="J24" s="283"/>
    </row>
    <row r="25" spans="2:10" x14ac:dyDescent="0.2">
      <c r="B25" s="277"/>
      <c r="C25" s="281"/>
      <c r="D25" s="282"/>
      <c r="E25" s="282"/>
      <c r="F25" s="282"/>
      <c r="G25" s="282"/>
      <c r="H25" s="282"/>
      <c r="I25" s="282"/>
      <c r="J25" s="283"/>
    </row>
    <row r="26" spans="2:10" x14ac:dyDescent="0.2">
      <c r="B26" s="277"/>
      <c r="C26" s="281"/>
      <c r="D26" s="282"/>
      <c r="E26" s="282"/>
      <c r="F26" s="282"/>
      <c r="G26" s="282"/>
      <c r="H26" s="282"/>
      <c r="I26" s="282"/>
      <c r="J26" s="283"/>
    </row>
    <row r="27" spans="2:10" x14ac:dyDescent="0.2">
      <c r="B27" s="277"/>
      <c r="C27" s="281"/>
      <c r="D27" s="282"/>
      <c r="E27" s="282"/>
      <c r="F27" s="282"/>
      <c r="G27" s="282"/>
      <c r="H27" s="282"/>
      <c r="I27" s="282"/>
      <c r="J27" s="283"/>
    </row>
    <row r="28" spans="2:10" x14ac:dyDescent="0.2">
      <c r="B28" s="44" t="s">
        <v>218</v>
      </c>
      <c r="C28" s="301"/>
      <c r="D28" s="302"/>
      <c r="E28" s="302"/>
      <c r="F28" s="302"/>
      <c r="G28" s="302"/>
      <c r="H28" s="302"/>
      <c r="I28" s="302"/>
      <c r="J28" s="303"/>
    </row>
    <row r="29" spans="2:10" ht="30" customHeight="1" x14ac:dyDescent="0.2">
      <c r="B29" s="304" t="s">
        <v>220</v>
      </c>
      <c r="C29" s="305"/>
      <c r="D29" s="305"/>
      <c r="E29" s="305"/>
      <c r="F29" s="305"/>
      <c r="G29" s="305"/>
      <c r="H29" s="305"/>
      <c r="I29" s="305"/>
      <c r="J29" s="306"/>
    </row>
    <row r="30" spans="2:10" ht="25.5" customHeight="1" x14ac:dyDescent="0.2">
      <c r="B30" s="307" t="s">
        <v>857</v>
      </c>
      <c r="C30" s="308"/>
      <c r="D30" s="308"/>
      <c r="E30" s="308"/>
      <c r="F30" s="308"/>
      <c r="G30" s="308"/>
      <c r="H30" s="308"/>
      <c r="I30" s="308"/>
      <c r="J30" s="309"/>
    </row>
    <row r="31" spans="2:10" x14ac:dyDescent="0.2">
      <c r="B31" s="293" t="s">
        <v>219</v>
      </c>
      <c r="C31" s="294"/>
      <c r="D31" s="294"/>
      <c r="E31" s="294"/>
      <c r="F31" s="294"/>
      <c r="G31" s="294"/>
      <c r="H31" s="294"/>
      <c r="I31" s="294"/>
      <c r="J31" s="295"/>
    </row>
    <row r="32" spans="2:10" x14ac:dyDescent="0.2">
      <c r="B32" s="296"/>
      <c r="C32" s="279"/>
      <c r="D32" s="279"/>
      <c r="E32" s="279"/>
      <c r="F32" s="279"/>
      <c r="G32" s="279"/>
      <c r="H32" s="279"/>
      <c r="I32" s="279"/>
      <c r="J32" s="280"/>
    </row>
    <row r="33" spans="2:10" x14ac:dyDescent="0.2">
      <c r="B33" s="297"/>
      <c r="C33" s="282"/>
      <c r="D33" s="282"/>
      <c r="E33" s="282"/>
      <c r="F33" s="282"/>
      <c r="G33" s="282"/>
      <c r="H33" s="282"/>
      <c r="I33" s="282"/>
      <c r="J33" s="283"/>
    </row>
    <row r="34" spans="2:10" x14ac:dyDescent="0.2">
      <c r="B34" s="297"/>
      <c r="C34" s="282"/>
      <c r="D34" s="282"/>
      <c r="E34" s="282"/>
      <c r="F34" s="282"/>
      <c r="G34" s="282"/>
      <c r="H34" s="282"/>
      <c r="I34" s="282"/>
      <c r="J34" s="283"/>
    </row>
    <row r="35" spans="2:10" x14ac:dyDescent="0.2">
      <c r="B35" s="297"/>
      <c r="C35" s="282"/>
      <c r="D35" s="282"/>
      <c r="E35" s="282"/>
      <c r="F35" s="282"/>
      <c r="G35" s="282"/>
      <c r="H35" s="282"/>
      <c r="I35" s="282"/>
      <c r="J35" s="283"/>
    </row>
    <row r="36" spans="2:10" x14ac:dyDescent="0.2">
      <c r="B36" s="297"/>
      <c r="C36" s="282"/>
      <c r="D36" s="282"/>
      <c r="E36" s="282"/>
      <c r="F36" s="282"/>
      <c r="G36" s="282"/>
      <c r="H36" s="282"/>
      <c r="I36" s="282"/>
      <c r="J36" s="283"/>
    </row>
    <row r="37" spans="2:10" x14ac:dyDescent="0.2">
      <c r="B37" s="297"/>
      <c r="C37" s="282"/>
      <c r="D37" s="282"/>
      <c r="E37" s="282"/>
      <c r="F37" s="282"/>
      <c r="G37" s="282"/>
      <c r="H37" s="282"/>
      <c r="I37" s="282"/>
      <c r="J37" s="283"/>
    </row>
    <row r="38" spans="2:10" x14ac:dyDescent="0.2">
      <c r="B38" s="297"/>
      <c r="C38" s="282"/>
      <c r="D38" s="282"/>
      <c r="E38" s="282"/>
      <c r="F38" s="282"/>
      <c r="G38" s="282"/>
      <c r="H38" s="282"/>
      <c r="I38" s="282"/>
      <c r="J38" s="283"/>
    </row>
    <row r="39" spans="2:10" x14ac:dyDescent="0.2">
      <c r="B39" s="297"/>
      <c r="C39" s="282"/>
      <c r="D39" s="282"/>
      <c r="E39" s="282"/>
      <c r="F39" s="282"/>
      <c r="G39" s="282"/>
      <c r="H39" s="282"/>
      <c r="I39" s="282"/>
      <c r="J39" s="283"/>
    </row>
    <row r="40" spans="2:10" x14ac:dyDescent="0.2">
      <c r="B40" s="297"/>
      <c r="C40" s="282"/>
      <c r="D40" s="282"/>
      <c r="E40" s="282"/>
      <c r="F40" s="282"/>
      <c r="G40" s="282"/>
      <c r="H40" s="282"/>
      <c r="I40" s="282"/>
      <c r="J40" s="283"/>
    </row>
    <row r="41" spans="2:10" x14ac:dyDescent="0.2">
      <c r="B41" s="297"/>
      <c r="C41" s="282"/>
      <c r="D41" s="282"/>
      <c r="E41" s="282"/>
      <c r="F41" s="282"/>
      <c r="G41" s="282"/>
      <c r="H41" s="282"/>
      <c r="I41" s="282"/>
      <c r="J41" s="283"/>
    </row>
    <row r="42" spans="2:10" x14ac:dyDescent="0.2">
      <c r="B42" s="297"/>
      <c r="C42" s="282"/>
      <c r="D42" s="282"/>
      <c r="E42" s="282"/>
      <c r="F42" s="282"/>
      <c r="G42" s="282"/>
      <c r="H42" s="282"/>
      <c r="I42" s="282"/>
      <c r="J42" s="283"/>
    </row>
    <row r="43" spans="2:10" x14ac:dyDescent="0.2">
      <c r="B43" s="297"/>
      <c r="C43" s="282"/>
      <c r="D43" s="282"/>
      <c r="E43" s="282"/>
      <c r="F43" s="282"/>
      <c r="G43" s="282"/>
      <c r="H43" s="282"/>
      <c r="I43" s="282"/>
      <c r="J43" s="283"/>
    </row>
    <row r="44" spans="2:10" ht="90" customHeight="1" thickBot="1" x14ac:dyDescent="0.25">
      <c r="B44" s="298" t="s">
        <v>221</v>
      </c>
      <c r="C44" s="299"/>
      <c r="D44" s="299"/>
      <c r="E44" s="299"/>
      <c r="F44" s="299"/>
      <c r="G44" s="299"/>
      <c r="H44" s="299"/>
      <c r="I44" s="299"/>
      <c r="J44" s="300"/>
    </row>
  </sheetData>
  <mergeCells count="30">
    <mergeCell ref="B31:J31"/>
    <mergeCell ref="B32:J43"/>
    <mergeCell ref="B44:J44"/>
    <mergeCell ref="C28:J28"/>
    <mergeCell ref="B29:J29"/>
    <mergeCell ref="B30:J30"/>
    <mergeCell ref="B23:B27"/>
    <mergeCell ref="C23:J27"/>
    <mergeCell ref="C13:I13"/>
    <mergeCell ref="C14:I14"/>
    <mergeCell ref="C15:J15"/>
    <mergeCell ref="C16:I16"/>
    <mergeCell ref="C17:I17"/>
    <mergeCell ref="C18:I18"/>
    <mergeCell ref="C19:I19"/>
    <mergeCell ref="B20:I20"/>
    <mergeCell ref="B21:J21"/>
    <mergeCell ref="B22:I22"/>
    <mergeCell ref="C12:I12"/>
    <mergeCell ref="B2:J2"/>
    <mergeCell ref="B3:J3"/>
    <mergeCell ref="C4:I4"/>
    <mergeCell ref="C5:I5"/>
    <mergeCell ref="C6:I6"/>
    <mergeCell ref="B7:J7"/>
    <mergeCell ref="C8:J8"/>
    <mergeCell ref="C9:I9"/>
    <mergeCell ref="C10:I10"/>
    <mergeCell ref="C11:I11"/>
    <mergeCell ref="J5:J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76"/>
  <sheetViews>
    <sheetView topLeftCell="A242" zoomScale="70" zoomScaleNormal="70" workbookViewId="0">
      <selection activeCell="G257" sqref="G257"/>
    </sheetView>
  </sheetViews>
  <sheetFormatPr defaultRowHeight="12.75" x14ac:dyDescent="0.2"/>
  <cols>
    <col min="1" max="1" width="9" style="112"/>
    <col min="2" max="2" width="14.625" style="84" customWidth="1"/>
    <col min="3" max="3" width="13.25" style="84" bestFit="1" customWidth="1"/>
    <col min="4" max="4" width="60" style="87" bestFit="1" customWidth="1"/>
    <col min="5" max="5" width="8" style="84" bestFit="1" customWidth="1"/>
    <col min="6" max="6" width="13" style="84" bestFit="1" customWidth="1"/>
    <col min="7" max="7" width="13" style="91" bestFit="1" customWidth="1"/>
    <col min="8" max="8" width="14.625" style="91" customWidth="1"/>
    <col min="9" max="16384" width="9" style="87"/>
  </cols>
  <sheetData>
    <row r="1" spans="1:8" x14ac:dyDescent="0.2">
      <c r="B1" s="85"/>
      <c r="C1" s="85"/>
      <c r="D1" s="104"/>
      <c r="E1" s="310"/>
      <c r="F1" s="310"/>
      <c r="G1" s="88"/>
      <c r="H1" s="88"/>
    </row>
    <row r="2" spans="1:8" ht="19.5" customHeight="1" thickBot="1" x14ac:dyDescent="0.25">
      <c r="B2" s="85"/>
      <c r="C2" s="85"/>
      <c r="D2" s="104"/>
      <c r="E2" s="310"/>
      <c r="F2" s="310"/>
      <c r="G2" s="88"/>
      <c r="H2" s="88"/>
    </row>
    <row r="3" spans="1:8" ht="47.25" customHeight="1" thickBot="1" x14ac:dyDescent="0.25">
      <c r="B3" s="311" t="s">
        <v>835</v>
      </c>
      <c r="C3" s="312"/>
      <c r="D3" s="312"/>
      <c r="E3" s="312"/>
      <c r="F3" s="312"/>
      <c r="G3" s="312"/>
      <c r="H3" s="313"/>
    </row>
    <row r="4" spans="1:8" s="84" customFormat="1" ht="30" customHeight="1" x14ac:dyDescent="0.2">
      <c r="B4" s="164" t="s">
        <v>5</v>
      </c>
      <c r="C4" s="164" t="s">
        <v>6</v>
      </c>
      <c r="D4" s="165" t="s">
        <v>7</v>
      </c>
      <c r="E4" s="164" t="s">
        <v>8</v>
      </c>
      <c r="F4" s="166" t="s">
        <v>9</v>
      </c>
      <c r="G4" s="169" t="s">
        <v>10</v>
      </c>
      <c r="H4" s="168" t="s">
        <v>12</v>
      </c>
    </row>
    <row r="5" spans="1:8" ht="45.75" customHeight="1" x14ac:dyDescent="0.2">
      <c r="A5" s="84" t="s">
        <v>511</v>
      </c>
      <c r="B5" s="98" t="s">
        <v>238</v>
      </c>
      <c r="C5" s="98" t="s">
        <v>814</v>
      </c>
      <c r="D5" s="99" t="s">
        <v>260</v>
      </c>
      <c r="E5" s="98" t="s">
        <v>244</v>
      </c>
      <c r="F5" s="167"/>
      <c r="G5" s="100"/>
      <c r="H5" s="123">
        <f>SUM(H6:H12)</f>
        <v>413.18</v>
      </c>
    </row>
    <row r="6" spans="1:8" ht="24" customHeight="1" x14ac:dyDescent="0.2">
      <c r="A6" s="84" t="s">
        <v>512</v>
      </c>
      <c r="B6" s="94">
        <v>88262</v>
      </c>
      <c r="C6" s="94" t="s">
        <v>16</v>
      </c>
      <c r="D6" s="101" t="s">
        <v>267</v>
      </c>
      <c r="E6" s="94" t="s">
        <v>25</v>
      </c>
      <c r="F6" s="113">
        <v>1</v>
      </c>
      <c r="G6" s="115">
        <v>19.71</v>
      </c>
      <c r="H6" s="114">
        <f>TRUNC(F6*G6,2)</f>
        <v>19.71</v>
      </c>
    </row>
    <row r="7" spans="1:8" ht="24" customHeight="1" x14ac:dyDescent="0.2">
      <c r="A7" s="84" t="s">
        <v>513</v>
      </c>
      <c r="B7" s="94" t="s">
        <v>273</v>
      </c>
      <c r="C7" s="94" t="s">
        <v>16</v>
      </c>
      <c r="D7" s="101" t="s">
        <v>268</v>
      </c>
      <c r="E7" s="94" t="s">
        <v>25</v>
      </c>
      <c r="F7" s="113">
        <v>2</v>
      </c>
      <c r="G7" s="115">
        <v>16.3</v>
      </c>
      <c r="H7" s="114">
        <f t="shared" ref="H7:H12" si="0">TRUNC(F7*G7,2)</f>
        <v>32.6</v>
      </c>
    </row>
    <row r="8" spans="1:8" ht="31.5" customHeight="1" x14ac:dyDescent="0.2">
      <c r="A8" s="84" t="s">
        <v>514</v>
      </c>
      <c r="B8" s="94" t="s">
        <v>274</v>
      </c>
      <c r="C8" s="94" t="s">
        <v>16</v>
      </c>
      <c r="D8" s="101" t="s">
        <v>269</v>
      </c>
      <c r="E8" s="94" t="s">
        <v>246</v>
      </c>
      <c r="F8" s="113">
        <v>1</v>
      </c>
      <c r="G8" s="115">
        <v>8.0500000000000007</v>
      </c>
      <c r="H8" s="114">
        <f t="shared" si="0"/>
        <v>8.0500000000000007</v>
      </c>
    </row>
    <row r="9" spans="1:8" ht="31.5" customHeight="1" x14ac:dyDescent="0.2">
      <c r="A9" s="84" t="s">
        <v>515</v>
      </c>
      <c r="B9" s="94" t="s">
        <v>275</v>
      </c>
      <c r="C9" s="94" t="s">
        <v>16</v>
      </c>
      <c r="D9" s="101" t="s">
        <v>270</v>
      </c>
      <c r="E9" s="94" t="s">
        <v>246</v>
      </c>
      <c r="F9" s="113">
        <v>4</v>
      </c>
      <c r="G9" s="115">
        <v>7.92</v>
      </c>
      <c r="H9" s="114">
        <f t="shared" si="0"/>
        <v>31.68</v>
      </c>
    </row>
    <row r="10" spans="1:8" ht="31.5" customHeight="1" x14ac:dyDescent="0.2">
      <c r="A10" s="84" t="s">
        <v>516</v>
      </c>
      <c r="B10" s="94" t="s">
        <v>276</v>
      </c>
      <c r="C10" s="94" t="s">
        <v>16</v>
      </c>
      <c r="D10" s="101" t="s">
        <v>271</v>
      </c>
      <c r="E10" s="94" t="s">
        <v>47</v>
      </c>
      <c r="F10" s="113">
        <v>1</v>
      </c>
      <c r="G10" s="115">
        <v>315</v>
      </c>
      <c r="H10" s="114">
        <f t="shared" si="0"/>
        <v>315</v>
      </c>
    </row>
    <row r="11" spans="1:8" ht="24" customHeight="1" x14ac:dyDescent="0.2">
      <c r="A11" s="84" t="s">
        <v>517</v>
      </c>
      <c r="B11" s="94" t="s">
        <v>277</v>
      </c>
      <c r="C11" s="94" t="s">
        <v>16</v>
      </c>
      <c r="D11" s="101" t="s">
        <v>272</v>
      </c>
      <c r="E11" s="94" t="s">
        <v>278</v>
      </c>
      <c r="F11" s="113">
        <v>0.11</v>
      </c>
      <c r="G11" s="115">
        <v>25.43</v>
      </c>
      <c r="H11" s="114">
        <f t="shared" si="0"/>
        <v>2.79</v>
      </c>
    </row>
    <row r="12" spans="1:8" ht="36" customHeight="1" x14ac:dyDescent="0.2">
      <c r="A12" s="84" t="s">
        <v>518</v>
      </c>
      <c r="B12" s="94" t="s">
        <v>111</v>
      </c>
      <c r="C12" s="94" t="s">
        <v>16</v>
      </c>
      <c r="D12" s="101" t="s">
        <v>112</v>
      </c>
      <c r="E12" s="94" t="s">
        <v>40</v>
      </c>
      <c r="F12" s="113">
        <v>0.01</v>
      </c>
      <c r="G12" s="115">
        <v>335.12</v>
      </c>
      <c r="H12" s="114">
        <f t="shared" si="0"/>
        <v>3.35</v>
      </c>
    </row>
    <row r="13" spans="1:8" ht="36" customHeight="1" x14ac:dyDescent="0.2">
      <c r="A13" s="84" t="s">
        <v>519</v>
      </c>
      <c r="B13" s="94"/>
      <c r="C13" s="94"/>
      <c r="D13" s="101"/>
      <c r="E13" s="94"/>
      <c r="F13" s="113"/>
      <c r="G13" s="95"/>
      <c r="H13" s="114"/>
    </row>
    <row r="14" spans="1:8" ht="97.5" customHeight="1" x14ac:dyDescent="0.2">
      <c r="A14" s="84" t="s">
        <v>520</v>
      </c>
      <c r="B14" s="98" t="s">
        <v>238</v>
      </c>
      <c r="C14" s="98" t="s">
        <v>149</v>
      </c>
      <c r="D14" s="99" t="s">
        <v>148</v>
      </c>
      <c r="E14" s="98"/>
      <c r="F14" s="122" t="s">
        <v>244</v>
      </c>
      <c r="G14" s="100"/>
      <c r="H14" s="123">
        <f>SUM(H15:H23)</f>
        <v>135.51</v>
      </c>
    </row>
    <row r="15" spans="1:8" ht="24" customHeight="1" x14ac:dyDescent="0.2">
      <c r="A15" s="84" t="s">
        <v>521</v>
      </c>
      <c r="B15" s="94" t="s">
        <v>279</v>
      </c>
      <c r="C15" s="94" t="s">
        <v>16</v>
      </c>
      <c r="D15" s="101" t="s">
        <v>280</v>
      </c>
      <c r="E15" s="94" t="s">
        <v>25</v>
      </c>
      <c r="F15" s="113">
        <v>0.2</v>
      </c>
      <c r="G15" s="115">
        <v>18.93</v>
      </c>
      <c r="H15" s="114">
        <f>TRUNC(F15*G15,2)</f>
        <v>3.78</v>
      </c>
    </row>
    <row r="16" spans="1:8" ht="24" customHeight="1" x14ac:dyDescent="0.2">
      <c r="A16" s="84" t="s">
        <v>522</v>
      </c>
      <c r="B16" s="94" t="s">
        <v>281</v>
      </c>
      <c r="C16" s="94" t="s">
        <v>16</v>
      </c>
      <c r="D16" s="101" t="s">
        <v>282</v>
      </c>
      <c r="E16" s="94" t="s">
        <v>25</v>
      </c>
      <c r="F16" s="113">
        <v>2</v>
      </c>
      <c r="G16" s="115">
        <v>20.6</v>
      </c>
      <c r="H16" s="114">
        <f t="shared" ref="H16:H23" si="1">TRUNC(F16*G16,2)</f>
        <v>41.2</v>
      </c>
    </row>
    <row r="17" spans="1:8" ht="24" customHeight="1" x14ac:dyDescent="0.2">
      <c r="A17" s="84" t="s">
        <v>523</v>
      </c>
      <c r="B17" s="94" t="s">
        <v>273</v>
      </c>
      <c r="C17" s="94" t="s">
        <v>16</v>
      </c>
      <c r="D17" s="101" t="s">
        <v>268</v>
      </c>
      <c r="E17" s="94" t="s">
        <v>25</v>
      </c>
      <c r="F17" s="113">
        <v>0.2</v>
      </c>
      <c r="G17" s="115">
        <v>16.3</v>
      </c>
      <c r="H17" s="114">
        <f t="shared" si="1"/>
        <v>3.26</v>
      </c>
    </row>
    <row r="18" spans="1:8" ht="24" customHeight="1" x14ac:dyDescent="0.2">
      <c r="A18" s="84" t="s">
        <v>524</v>
      </c>
      <c r="B18" s="94" t="s">
        <v>283</v>
      </c>
      <c r="C18" s="94" t="s">
        <v>16</v>
      </c>
      <c r="D18" s="101" t="s">
        <v>284</v>
      </c>
      <c r="E18" s="94" t="s">
        <v>278</v>
      </c>
      <c r="F18" s="113">
        <v>2.82</v>
      </c>
      <c r="G18" s="115">
        <v>14.17</v>
      </c>
      <c r="H18" s="114">
        <f t="shared" si="1"/>
        <v>39.950000000000003</v>
      </c>
    </row>
    <row r="19" spans="1:8" ht="24" customHeight="1" x14ac:dyDescent="0.2">
      <c r="A19" s="84" t="s">
        <v>525</v>
      </c>
      <c r="B19" s="94" t="s">
        <v>275</v>
      </c>
      <c r="C19" s="94" t="s">
        <v>16</v>
      </c>
      <c r="D19" s="101" t="s">
        <v>270</v>
      </c>
      <c r="E19" s="94" t="s">
        <v>246</v>
      </c>
      <c r="F19" s="113">
        <v>1.5</v>
      </c>
      <c r="G19" s="115">
        <v>7.92</v>
      </c>
      <c r="H19" s="114">
        <f t="shared" si="1"/>
        <v>11.88</v>
      </c>
    </row>
    <row r="20" spans="1:8" ht="24" customHeight="1" x14ac:dyDescent="0.2">
      <c r="A20" s="84" t="s">
        <v>526</v>
      </c>
      <c r="B20" s="94" t="s">
        <v>285</v>
      </c>
      <c r="C20" s="94" t="s">
        <v>16</v>
      </c>
      <c r="D20" s="101" t="s">
        <v>286</v>
      </c>
      <c r="E20" s="94" t="s">
        <v>246</v>
      </c>
      <c r="F20" s="113">
        <v>3.2</v>
      </c>
      <c r="G20" s="115">
        <v>4.0199999999999996</v>
      </c>
      <c r="H20" s="114">
        <f t="shared" si="1"/>
        <v>12.86</v>
      </c>
    </row>
    <row r="21" spans="1:8" ht="24" customHeight="1" x14ac:dyDescent="0.2">
      <c r="A21" s="84" t="s">
        <v>527</v>
      </c>
      <c r="B21" s="94" t="s">
        <v>277</v>
      </c>
      <c r="C21" s="94" t="s">
        <v>16</v>
      </c>
      <c r="D21" s="101" t="s">
        <v>272</v>
      </c>
      <c r="E21" s="94" t="s">
        <v>278</v>
      </c>
      <c r="F21" s="113">
        <v>0.5</v>
      </c>
      <c r="G21" s="115">
        <v>25.43</v>
      </c>
      <c r="H21" s="114">
        <f t="shared" si="1"/>
        <v>12.71</v>
      </c>
    </row>
    <row r="22" spans="1:8" ht="24" customHeight="1" x14ac:dyDescent="0.2">
      <c r="A22" s="84" t="s">
        <v>528</v>
      </c>
      <c r="B22" s="94" t="s">
        <v>287</v>
      </c>
      <c r="C22" s="94" t="s">
        <v>16</v>
      </c>
      <c r="D22" s="101" t="s">
        <v>288</v>
      </c>
      <c r="E22" s="94" t="s">
        <v>289</v>
      </c>
      <c r="F22" s="113">
        <v>1.12E-2</v>
      </c>
      <c r="G22" s="115">
        <v>33.31</v>
      </c>
      <c r="H22" s="114">
        <f t="shared" si="1"/>
        <v>0.37</v>
      </c>
    </row>
    <row r="23" spans="1:8" ht="24" customHeight="1" x14ac:dyDescent="0.2">
      <c r="A23" s="84" t="s">
        <v>529</v>
      </c>
      <c r="B23" s="94" t="s">
        <v>290</v>
      </c>
      <c r="C23" s="94" t="s">
        <v>16</v>
      </c>
      <c r="D23" s="101" t="s">
        <v>291</v>
      </c>
      <c r="E23" s="94" t="s">
        <v>40</v>
      </c>
      <c r="F23" s="113">
        <v>1.7999999999999999E-2</v>
      </c>
      <c r="G23" s="115">
        <v>527.80999999999995</v>
      </c>
      <c r="H23" s="114">
        <f t="shared" si="1"/>
        <v>9.5</v>
      </c>
    </row>
    <row r="24" spans="1:8" ht="24" customHeight="1" x14ac:dyDescent="0.2">
      <c r="A24" s="84" t="s">
        <v>530</v>
      </c>
      <c r="B24" s="94"/>
      <c r="C24" s="94"/>
      <c r="D24" s="101"/>
      <c r="E24" s="94"/>
      <c r="F24" s="113"/>
      <c r="G24" s="95"/>
      <c r="H24" s="114"/>
    </row>
    <row r="25" spans="1:8" ht="32.25" hidden="1" customHeight="1" x14ac:dyDescent="0.2">
      <c r="A25" s="84" t="s">
        <v>531</v>
      </c>
      <c r="B25" s="98" t="s">
        <v>238</v>
      </c>
      <c r="C25" s="98" t="s">
        <v>245</v>
      </c>
      <c r="D25" s="99" t="s">
        <v>261</v>
      </c>
      <c r="E25" s="98"/>
      <c r="F25" s="122" t="s">
        <v>246</v>
      </c>
      <c r="G25" s="100"/>
      <c r="H25" s="123">
        <f>SUM(H26:H32)</f>
        <v>2.9200000000000004</v>
      </c>
    </row>
    <row r="26" spans="1:8" ht="24" hidden="1" customHeight="1" x14ac:dyDescent="0.2">
      <c r="A26" s="84" t="s">
        <v>532</v>
      </c>
      <c r="B26" s="94" t="s">
        <v>292</v>
      </c>
      <c r="C26" s="94" t="s">
        <v>16</v>
      </c>
      <c r="D26" s="101" t="s">
        <v>293</v>
      </c>
      <c r="E26" s="94" t="s">
        <v>25</v>
      </c>
      <c r="F26" s="113">
        <v>0.05</v>
      </c>
      <c r="G26" s="115">
        <v>22.08</v>
      </c>
      <c r="H26" s="114">
        <f>TRUNC(F26*G26,2)</f>
        <v>1.1000000000000001</v>
      </c>
    </row>
    <row r="27" spans="1:8" ht="24" hidden="1" customHeight="1" x14ac:dyDescent="0.2">
      <c r="A27" s="84" t="s">
        <v>533</v>
      </c>
      <c r="B27" s="94" t="s">
        <v>273</v>
      </c>
      <c r="C27" s="94" t="s">
        <v>16</v>
      </c>
      <c r="D27" s="101" t="s">
        <v>268</v>
      </c>
      <c r="E27" s="94" t="s">
        <v>25</v>
      </c>
      <c r="F27" s="113">
        <v>0.05</v>
      </c>
      <c r="G27" s="115">
        <v>16.3</v>
      </c>
      <c r="H27" s="114">
        <f t="shared" ref="H27:H32" si="2">TRUNC(F27*G27,2)</f>
        <v>0.81</v>
      </c>
    </row>
    <row r="28" spans="1:8" ht="32.25" hidden="1" customHeight="1" x14ac:dyDescent="0.2">
      <c r="A28" s="84" t="s">
        <v>534</v>
      </c>
      <c r="B28" s="94" t="s">
        <v>294</v>
      </c>
      <c r="C28" s="94" t="s">
        <v>16</v>
      </c>
      <c r="D28" s="101" t="s">
        <v>295</v>
      </c>
      <c r="E28" s="94" t="s">
        <v>246</v>
      </c>
      <c r="F28" s="113">
        <v>0.3</v>
      </c>
      <c r="G28" s="115">
        <v>2.1800000000000002</v>
      </c>
      <c r="H28" s="114">
        <f t="shared" si="2"/>
        <v>0.65</v>
      </c>
    </row>
    <row r="29" spans="1:8" ht="24" hidden="1" customHeight="1" x14ac:dyDescent="0.2">
      <c r="A29" s="84" t="s">
        <v>535</v>
      </c>
      <c r="B29" s="94" t="s">
        <v>296</v>
      </c>
      <c r="C29" s="94" t="s">
        <v>16</v>
      </c>
      <c r="D29" s="101" t="s">
        <v>297</v>
      </c>
      <c r="E29" s="94" t="s">
        <v>298</v>
      </c>
      <c r="F29" s="113">
        <v>0.24</v>
      </c>
      <c r="G29" s="115">
        <v>0.86</v>
      </c>
      <c r="H29" s="114">
        <f t="shared" si="2"/>
        <v>0.2</v>
      </c>
    </row>
    <row r="30" spans="1:8" ht="24" hidden="1" customHeight="1" x14ac:dyDescent="0.2">
      <c r="A30" s="84" t="s">
        <v>536</v>
      </c>
      <c r="B30" s="94" t="s">
        <v>299</v>
      </c>
      <c r="C30" s="94" t="s">
        <v>16</v>
      </c>
      <c r="D30" s="101" t="s">
        <v>300</v>
      </c>
      <c r="E30" s="94" t="s">
        <v>248</v>
      </c>
      <c r="F30" s="113">
        <v>8.9999999999999993E-3</v>
      </c>
      <c r="G30" s="115">
        <v>5.32</v>
      </c>
      <c r="H30" s="114">
        <f t="shared" si="2"/>
        <v>0.04</v>
      </c>
    </row>
    <row r="31" spans="1:8" ht="24" hidden="1" customHeight="1" x14ac:dyDescent="0.2">
      <c r="A31" s="84" t="s">
        <v>537</v>
      </c>
      <c r="B31" s="94" t="s">
        <v>301</v>
      </c>
      <c r="C31" s="94" t="s">
        <v>16</v>
      </c>
      <c r="D31" s="101" t="s">
        <v>302</v>
      </c>
      <c r="E31" s="94" t="s">
        <v>248</v>
      </c>
      <c r="F31" s="113">
        <v>8.9999999999999993E-3</v>
      </c>
      <c r="G31" s="115">
        <v>5.29</v>
      </c>
      <c r="H31" s="114">
        <f t="shared" si="2"/>
        <v>0.04</v>
      </c>
    </row>
    <row r="32" spans="1:8" ht="30.75" hidden="1" customHeight="1" x14ac:dyDescent="0.2">
      <c r="A32" s="84" t="s">
        <v>538</v>
      </c>
      <c r="B32" s="94" t="s">
        <v>303</v>
      </c>
      <c r="C32" s="94" t="s">
        <v>16</v>
      </c>
      <c r="D32" s="101" t="s">
        <v>304</v>
      </c>
      <c r="E32" s="94" t="s">
        <v>248</v>
      </c>
      <c r="F32" s="113">
        <v>8.9999999999999993E-3</v>
      </c>
      <c r="G32" s="115">
        <v>9.8800000000000008</v>
      </c>
      <c r="H32" s="114">
        <f t="shared" si="2"/>
        <v>0.08</v>
      </c>
    </row>
    <row r="33" spans="1:8" ht="24" hidden="1" customHeight="1" x14ac:dyDescent="0.2">
      <c r="A33" s="84" t="s">
        <v>539</v>
      </c>
      <c r="B33" s="94"/>
      <c r="C33" s="94"/>
      <c r="D33" s="101"/>
      <c r="E33" s="94"/>
      <c r="F33" s="113"/>
      <c r="G33" s="95"/>
      <c r="H33" s="114"/>
    </row>
    <row r="34" spans="1:8" ht="96" hidden="1" customHeight="1" x14ac:dyDescent="0.2">
      <c r="A34" s="84" t="s">
        <v>540</v>
      </c>
      <c r="B34" s="98" t="s">
        <v>238</v>
      </c>
      <c r="C34" s="98" t="s">
        <v>247</v>
      </c>
      <c r="D34" s="99" t="s">
        <v>262</v>
      </c>
      <c r="E34" s="98"/>
      <c r="F34" s="122" t="s">
        <v>246</v>
      </c>
      <c r="G34" s="100"/>
      <c r="H34" s="123">
        <f>SUM(H35:H38)</f>
        <v>10.95</v>
      </c>
    </row>
    <row r="35" spans="1:8" ht="24" hidden="1" customHeight="1" x14ac:dyDescent="0.2">
      <c r="A35" s="84" t="s">
        <v>541</v>
      </c>
      <c r="B35" s="94" t="s">
        <v>273</v>
      </c>
      <c r="C35" s="94" t="s">
        <v>16</v>
      </c>
      <c r="D35" s="101" t="s">
        <v>268</v>
      </c>
      <c r="E35" s="94" t="s">
        <v>25</v>
      </c>
      <c r="F35" s="113">
        <v>0.18</v>
      </c>
      <c r="G35" s="115">
        <v>16.3</v>
      </c>
      <c r="H35" s="114">
        <f>TRUNC(F35*G35,2)</f>
        <v>2.93</v>
      </c>
    </row>
    <row r="36" spans="1:8" ht="24" hidden="1" customHeight="1" x14ac:dyDescent="0.2">
      <c r="A36" s="84" t="s">
        <v>542</v>
      </c>
      <c r="B36" s="94" t="s">
        <v>305</v>
      </c>
      <c r="C36" s="94" t="s">
        <v>16</v>
      </c>
      <c r="D36" s="101" t="s">
        <v>306</v>
      </c>
      <c r="E36" s="94" t="s">
        <v>246</v>
      </c>
      <c r="F36" s="113">
        <v>1.1000000000000001</v>
      </c>
      <c r="G36" s="115">
        <v>2.58</v>
      </c>
      <c r="H36" s="114">
        <f t="shared" ref="H36:H38" si="3">TRUNC(F36*G36,2)</f>
        <v>2.83</v>
      </c>
    </row>
    <row r="37" spans="1:8" ht="24" hidden="1" customHeight="1" x14ac:dyDescent="0.2">
      <c r="A37" s="84" t="s">
        <v>543</v>
      </c>
      <c r="B37" s="94" t="s">
        <v>307</v>
      </c>
      <c r="C37" s="94" t="s">
        <v>16</v>
      </c>
      <c r="D37" s="101" t="s">
        <v>308</v>
      </c>
      <c r="E37" s="94" t="s">
        <v>278</v>
      </c>
      <c r="F37" s="113">
        <v>0.29625000000000001</v>
      </c>
      <c r="G37" s="115">
        <v>12.7</v>
      </c>
      <c r="H37" s="114">
        <f t="shared" si="3"/>
        <v>3.76</v>
      </c>
    </row>
    <row r="38" spans="1:8" ht="24" hidden="1" customHeight="1" x14ac:dyDescent="0.2">
      <c r="A38" s="84" t="s">
        <v>544</v>
      </c>
      <c r="B38" s="94" t="s">
        <v>309</v>
      </c>
      <c r="C38" s="94" t="s">
        <v>16</v>
      </c>
      <c r="D38" s="101" t="s">
        <v>310</v>
      </c>
      <c r="E38" s="94" t="s">
        <v>278</v>
      </c>
      <c r="F38" s="113">
        <v>0.04</v>
      </c>
      <c r="G38" s="115">
        <v>35.79</v>
      </c>
      <c r="H38" s="114">
        <f t="shared" si="3"/>
        <v>1.43</v>
      </c>
    </row>
    <row r="39" spans="1:8" ht="24" hidden="1" customHeight="1" x14ac:dyDescent="0.2">
      <c r="A39" s="84" t="s">
        <v>545</v>
      </c>
      <c r="B39" s="94"/>
      <c r="C39" s="94"/>
      <c r="D39" s="101"/>
      <c r="E39" s="94"/>
      <c r="F39" s="113"/>
      <c r="G39" s="95"/>
      <c r="H39" s="114"/>
    </row>
    <row r="40" spans="1:8" ht="48" customHeight="1" x14ac:dyDescent="0.2">
      <c r="A40" s="84" t="s">
        <v>546</v>
      </c>
      <c r="B40" s="98" t="s">
        <v>238</v>
      </c>
      <c r="C40" s="98" t="s">
        <v>151</v>
      </c>
      <c r="D40" s="99" t="s">
        <v>152</v>
      </c>
      <c r="E40" s="98"/>
      <c r="F40" s="122" t="s">
        <v>248</v>
      </c>
      <c r="G40" s="100"/>
      <c r="H40" s="123">
        <f>SUM(H41:H43)</f>
        <v>280.77</v>
      </c>
    </row>
    <row r="41" spans="1:8" ht="71.25" customHeight="1" x14ac:dyDescent="0.2">
      <c r="A41" s="84" t="s">
        <v>547</v>
      </c>
      <c r="B41" s="94" t="s">
        <v>311</v>
      </c>
      <c r="C41" s="94" t="s">
        <v>16</v>
      </c>
      <c r="D41" s="101" t="s">
        <v>312</v>
      </c>
      <c r="E41" s="94" t="s">
        <v>40</v>
      </c>
      <c r="F41" s="113">
        <v>2.88</v>
      </c>
      <c r="G41" s="115">
        <v>14.54</v>
      </c>
      <c r="H41" s="114">
        <f>TRUNC(F41*G41,2)</f>
        <v>41.87</v>
      </c>
    </row>
    <row r="42" spans="1:8" ht="27.75" customHeight="1" x14ac:dyDescent="0.2">
      <c r="A42" s="84" t="s">
        <v>548</v>
      </c>
      <c r="B42" s="94" t="s">
        <v>43</v>
      </c>
      <c r="C42" s="94" t="s">
        <v>16</v>
      </c>
      <c r="D42" s="101" t="s">
        <v>44</v>
      </c>
      <c r="E42" s="94" t="s">
        <v>40</v>
      </c>
      <c r="F42" s="113">
        <v>1.92</v>
      </c>
      <c r="G42" s="115">
        <v>64.48</v>
      </c>
      <c r="H42" s="114">
        <f t="shared" ref="H42:H43" si="4">TRUNC(F42*G42,2)</f>
        <v>123.8</v>
      </c>
    </row>
    <row r="43" spans="1:8" ht="69" customHeight="1" x14ac:dyDescent="0.2">
      <c r="A43" s="84" t="s">
        <v>549</v>
      </c>
      <c r="B43" s="94" t="s">
        <v>313</v>
      </c>
      <c r="C43" s="94" t="s">
        <v>16</v>
      </c>
      <c r="D43" s="101" t="s">
        <v>314</v>
      </c>
      <c r="E43" s="94" t="s">
        <v>40</v>
      </c>
      <c r="F43" s="113">
        <v>4.8</v>
      </c>
      <c r="G43" s="115">
        <v>23.98</v>
      </c>
      <c r="H43" s="114">
        <f t="shared" si="4"/>
        <v>115.1</v>
      </c>
    </row>
    <row r="44" spans="1:8" ht="20.25" customHeight="1" x14ac:dyDescent="0.2">
      <c r="A44" s="84" t="s">
        <v>550</v>
      </c>
      <c r="B44" s="94"/>
      <c r="C44" s="94"/>
      <c r="D44" s="101"/>
      <c r="E44" s="94"/>
      <c r="F44" s="113"/>
      <c r="G44" s="95"/>
      <c r="H44" s="114"/>
    </row>
    <row r="45" spans="1:8" ht="27.75" hidden="1" customHeight="1" x14ac:dyDescent="0.2">
      <c r="A45" s="84" t="s">
        <v>551</v>
      </c>
      <c r="B45" s="98" t="s">
        <v>238</v>
      </c>
      <c r="C45" s="98" t="s">
        <v>153</v>
      </c>
      <c r="D45" s="99" t="s">
        <v>154</v>
      </c>
      <c r="E45" s="98"/>
      <c r="F45" s="122" t="s">
        <v>248</v>
      </c>
      <c r="G45" s="100"/>
      <c r="H45" s="123">
        <f>SUM(H46:H52)</f>
        <v>195.4</v>
      </c>
    </row>
    <row r="46" spans="1:8" ht="56.25" hidden="1" customHeight="1" x14ac:dyDescent="0.2">
      <c r="A46" s="84" t="s">
        <v>552</v>
      </c>
      <c r="B46" s="94" t="s">
        <v>315</v>
      </c>
      <c r="C46" s="94" t="s">
        <v>16</v>
      </c>
      <c r="D46" s="101" t="s">
        <v>316</v>
      </c>
      <c r="E46" s="94" t="s">
        <v>317</v>
      </c>
      <c r="F46" s="113">
        <v>2.1181999999999999</v>
      </c>
      <c r="G46" s="95">
        <v>38.72</v>
      </c>
      <c r="H46" s="114">
        <f>TRUNC(F46*G46,2)</f>
        <v>82.01</v>
      </c>
    </row>
    <row r="47" spans="1:8" ht="21.75" hidden="1" customHeight="1" x14ac:dyDescent="0.2">
      <c r="A47" s="84" t="s">
        <v>553</v>
      </c>
      <c r="B47" s="94" t="s">
        <v>273</v>
      </c>
      <c r="C47" s="94" t="s">
        <v>16</v>
      </c>
      <c r="D47" s="101" t="s">
        <v>268</v>
      </c>
      <c r="E47" s="94" t="s">
        <v>25</v>
      </c>
      <c r="F47" s="113">
        <v>0.04</v>
      </c>
      <c r="G47" s="95">
        <v>14.74</v>
      </c>
      <c r="H47" s="114">
        <f t="shared" ref="H47:H52" si="5">TRUNC(F47*G47,2)</f>
        <v>0.57999999999999996</v>
      </c>
    </row>
    <row r="48" spans="1:8" ht="27.75" hidden="1" customHeight="1" x14ac:dyDescent="0.2">
      <c r="A48" s="84" t="s">
        <v>554</v>
      </c>
      <c r="B48" s="94" t="s">
        <v>318</v>
      </c>
      <c r="C48" s="94" t="s">
        <v>16</v>
      </c>
      <c r="D48" s="101" t="s">
        <v>319</v>
      </c>
      <c r="E48" s="94" t="s">
        <v>25</v>
      </c>
      <c r="F48" s="113">
        <v>0.04</v>
      </c>
      <c r="G48" s="95">
        <v>17.84</v>
      </c>
      <c r="H48" s="114">
        <f t="shared" si="5"/>
        <v>0.71</v>
      </c>
    </row>
    <row r="49" spans="1:8" ht="36" hidden="1" customHeight="1" x14ac:dyDescent="0.2">
      <c r="A49" s="84" t="s">
        <v>555</v>
      </c>
      <c r="B49" s="94" t="s">
        <v>320</v>
      </c>
      <c r="C49" s="94" t="s">
        <v>16</v>
      </c>
      <c r="D49" s="101" t="s">
        <v>321</v>
      </c>
      <c r="E49" s="94" t="s">
        <v>246</v>
      </c>
      <c r="F49" s="113">
        <v>2</v>
      </c>
      <c r="G49" s="95">
        <v>4.0599999999999996</v>
      </c>
      <c r="H49" s="114">
        <f t="shared" si="5"/>
        <v>8.1199999999999992</v>
      </c>
    </row>
    <row r="50" spans="1:8" ht="34.5" hidden="1" customHeight="1" x14ac:dyDescent="0.2">
      <c r="A50" s="84" t="s">
        <v>556</v>
      </c>
      <c r="B50" s="94" t="s">
        <v>322</v>
      </c>
      <c r="C50" s="94" t="s">
        <v>16</v>
      </c>
      <c r="D50" s="101" t="s">
        <v>323</v>
      </c>
      <c r="E50" s="94" t="s">
        <v>248</v>
      </c>
      <c r="F50" s="113">
        <v>2</v>
      </c>
      <c r="G50" s="95">
        <v>5.16</v>
      </c>
      <c r="H50" s="114">
        <f t="shared" si="5"/>
        <v>10.32</v>
      </c>
    </row>
    <row r="51" spans="1:8" ht="34.5" hidden="1" customHeight="1" x14ac:dyDescent="0.2">
      <c r="A51" s="84" t="s">
        <v>557</v>
      </c>
      <c r="B51" s="94" t="s">
        <v>43</v>
      </c>
      <c r="C51" s="94" t="s">
        <v>16</v>
      </c>
      <c r="D51" s="101" t="s">
        <v>44</v>
      </c>
      <c r="E51" s="94" t="s">
        <v>40</v>
      </c>
      <c r="F51" s="113">
        <v>1</v>
      </c>
      <c r="G51" s="95">
        <v>58.31</v>
      </c>
      <c r="H51" s="114">
        <f t="shared" si="5"/>
        <v>58.31</v>
      </c>
    </row>
    <row r="52" spans="1:8" ht="24" hidden="1" customHeight="1" x14ac:dyDescent="0.2">
      <c r="A52" s="84" t="s">
        <v>558</v>
      </c>
      <c r="B52" s="94" t="s">
        <v>324</v>
      </c>
      <c r="C52" s="94" t="s">
        <v>16</v>
      </c>
      <c r="D52" s="101" t="s">
        <v>325</v>
      </c>
      <c r="E52" s="94" t="s">
        <v>40</v>
      </c>
      <c r="F52" s="113">
        <v>1</v>
      </c>
      <c r="G52" s="95">
        <v>35.35</v>
      </c>
      <c r="H52" s="114">
        <f t="shared" si="5"/>
        <v>35.35</v>
      </c>
    </row>
    <row r="53" spans="1:8" ht="24" hidden="1" customHeight="1" x14ac:dyDescent="0.2">
      <c r="A53" s="84" t="s">
        <v>559</v>
      </c>
      <c r="B53" s="94"/>
      <c r="C53" s="94"/>
      <c r="D53" s="101"/>
      <c r="E53" s="94"/>
      <c r="F53" s="113"/>
      <c r="G53" s="95"/>
      <c r="H53" s="114"/>
    </row>
    <row r="54" spans="1:8" ht="30" hidden="1" customHeight="1" x14ac:dyDescent="0.2">
      <c r="A54" s="84" t="s">
        <v>560</v>
      </c>
      <c r="B54" s="98" t="s">
        <v>238</v>
      </c>
      <c r="C54" s="98" t="s">
        <v>249</v>
      </c>
      <c r="D54" s="99" t="s">
        <v>263</v>
      </c>
      <c r="E54" s="98"/>
      <c r="F54" s="122" t="s">
        <v>248</v>
      </c>
      <c r="G54" s="100"/>
      <c r="H54" s="123">
        <f>SUM(H55:H60)</f>
        <v>328.57690711999999</v>
      </c>
    </row>
    <row r="55" spans="1:8" ht="28.5" hidden="1" customHeight="1" x14ac:dyDescent="0.2">
      <c r="A55" s="84" t="s">
        <v>561</v>
      </c>
      <c r="B55" s="92" t="s">
        <v>238</v>
      </c>
      <c r="C55" s="92" t="s">
        <v>163</v>
      </c>
      <c r="D55" s="105" t="str">
        <f>D62</f>
        <v>DEMOLIÇÃO DE PAVIMENTO, DE FORMA MANUAL, SEM REAPROVEITAMENTO (REFER. SICRO CÓD. 1600436)</v>
      </c>
      <c r="E55" s="94" t="s">
        <v>40</v>
      </c>
      <c r="F55" s="116">
        <v>0.66</v>
      </c>
      <c r="G55" s="96">
        <f>H62</f>
        <v>228.67000000000002</v>
      </c>
      <c r="H55" s="124">
        <f>F55*G55</f>
        <v>150.9222</v>
      </c>
    </row>
    <row r="56" spans="1:8" ht="27" hidden="1" customHeight="1" x14ac:dyDescent="0.2">
      <c r="A56" s="84" t="s">
        <v>562</v>
      </c>
      <c r="B56" s="94" t="s">
        <v>326</v>
      </c>
      <c r="C56" s="94" t="s">
        <v>16</v>
      </c>
      <c r="D56" s="101" t="s">
        <v>327</v>
      </c>
      <c r="E56" s="94" t="s">
        <v>40</v>
      </c>
      <c r="F56" s="113">
        <v>0.55130000000000001</v>
      </c>
      <c r="G56" s="95">
        <v>72.16</v>
      </c>
      <c r="H56" s="114">
        <f t="shared" ref="H56:H60" si="6">F56*G56</f>
        <v>39.781807999999998</v>
      </c>
    </row>
    <row r="57" spans="1:8" ht="26.25" hidden="1" customHeight="1" x14ac:dyDescent="0.2">
      <c r="A57" s="84" t="s">
        <v>563</v>
      </c>
      <c r="B57" s="94" t="s">
        <v>328</v>
      </c>
      <c r="C57" s="94" t="s">
        <v>16</v>
      </c>
      <c r="D57" s="101" t="s">
        <v>329</v>
      </c>
      <c r="E57" s="94" t="s">
        <v>40</v>
      </c>
      <c r="F57" s="113">
        <v>2.145</v>
      </c>
      <c r="G57" s="95">
        <v>9.6199999999999992</v>
      </c>
      <c r="H57" s="114">
        <f t="shared" si="6"/>
        <v>20.634899999999998</v>
      </c>
    </row>
    <row r="58" spans="1:8" ht="24" hidden="1" customHeight="1" x14ac:dyDescent="0.2">
      <c r="A58" s="84" t="s">
        <v>564</v>
      </c>
      <c r="B58" s="94" t="s">
        <v>54</v>
      </c>
      <c r="C58" s="94" t="s">
        <v>16</v>
      </c>
      <c r="D58" s="101" t="s">
        <v>55</v>
      </c>
      <c r="E58" s="94" t="s">
        <v>40</v>
      </c>
      <c r="F58" s="113">
        <v>1.65</v>
      </c>
      <c r="G58" s="95">
        <v>23.17</v>
      </c>
      <c r="H58" s="114">
        <f t="shared" si="6"/>
        <v>38.230499999999999</v>
      </c>
    </row>
    <row r="59" spans="1:8" ht="24" hidden="1" customHeight="1" x14ac:dyDescent="0.2">
      <c r="A59" s="84" t="s">
        <v>565</v>
      </c>
      <c r="B59" s="94" t="s">
        <v>273</v>
      </c>
      <c r="C59" s="94" t="s">
        <v>16</v>
      </c>
      <c r="D59" s="101" t="s">
        <v>268</v>
      </c>
      <c r="E59" s="94" t="s">
        <v>25</v>
      </c>
      <c r="F59" s="113">
        <v>1.0598879999999999</v>
      </c>
      <c r="G59" s="95">
        <v>14.74</v>
      </c>
      <c r="H59" s="114">
        <f t="shared" si="6"/>
        <v>15.62274912</v>
      </c>
    </row>
    <row r="60" spans="1:8" ht="27.75" hidden="1" customHeight="1" x14ac:dyDescent="0.2">
      <c r="A60" s="84" t="s">
        <v>566</v>
      </c>
      <c r="B60" s="94" t="s">
        <v>330</v>
      </c>
      <c r="C60" s="94" t="s">
        <v>16</v>
      </c>
      <c r="D60" s="101" t="s">
        <v>331</v>
      </c>
      <c r="E60" s="94" t="s">
        <v>332</v>
      </c>
      <c r="F60" s="113">
        <v>32.174999999999997</v>
      </c>
      <c r="G60" s="95">
        <v>1.97</v>
      </c>
      <c r="H60" s="114">
        <f t="shared" si="6"/>
        <v>63.384749999999997</v>
      </c>
    </row>
    <row r="61" spans="1:8" ht="36" hidden="1" customHeight="1" x14ac:dyDescent="0.2">
      <c r="A61" s="84" t="s">
        <v>567</v>
      </c>
      <c r="B61" s="94"/>
      <c r="C61" s="94"/>
      <c r="D61" s="101"/>
      <c r="E61" s="94"/>
      <c r="F61" s="113"/>
      <c r="G61" s="95"/>
      <c r="H61" s="114"/>
    </row>
    <row r="62" spans="1:8" ht="36" customHeight="1" x14ac:dyDescent="0.2">
      <c r="A62" s="84" t="s">
        <v>568</v>
      </c>
      <c r="B62" s="98" t="s">
        <v>238</v>
      </c>
      <c r="C62" s="98" t="s">
        <v>163</v>
      </c>
      <c r="D62" s="99" t="s">
        <v>164</v>
      </c>
      <c r="E62" s="98"/>
      <c r="F62" s="122" t="s">
        <v>250</v>
      </c>
      <c r="G62" s="100"/>
      <c r="H62" s="123">
        <f>SUM(H63:H64)</f>
        <v>228.67000000000002</v>
      </c>
    </row>
    <row r="63" spans="1:8" ht="24" customHeight="1" x14ac:dyDescent="0.2">
      <c r="A63" s="84" t="s">
        <v>569</v>
      </c>
      <c r="B63" s="94" t="s">
        <v>333</v>
      </c>
      <c r="C63" s="94" t="s">
        <v>16</v>
      </c>
      <c r="D63" s="101" t="s">
        <v>334</v>
      </c>
      <c r="E63" s="94" t="s">
        <v>25</v>
      </c>
      <c r="F63" s="113">
        <v>1.25</v>
      </c>
      <c r="G63" s="115">
        <v>19.940000000000001</v>
      </c>
      <c r="H63" s="114">
        <f>TRUNC(F63*G63,2)</f>
        <v>24.92</v>
      </c>
    </row>
    <row r="64" spans="1:8" ht="24" customHeight="1" x14ac:dyDescent="0.2">
      <c r="A64" s="84" t="s">
        <v>570</v>
      </c>
      <c r="B64" s="94" t="s">
        <v>273</v>
      </c>
      <c r="C64" s="94" t="s">
        <v>16</v>
      </c>
      <c r="D64" s="101" t="s">
        <v>268</v>
      </c>
      <c r="E64" s="94" t="s">
        <v>25</v>
      </c>
      <c r="F64" s="113">
        <v>12.5</v>
      </c>
      <c r="G64" s="115">
        <v>16.3</v>
      </c>
      <c r="H64" s="114">
        <f>TRUNC(F64*G64,2)</f>
        <v>203.75</v>
      </c>
    </row>
    <row r="65" spans="1:8" ht="24" customHeight="1" x14ac:dyDescent="0.2">
      <c r="A65" s="84" t="s">
        <v>571</v>
      </c>
      <c r="B65" s="94"/>
      <c r="C65" s="94"/>
      <c r="D65" s="101"/>
      <c r="E65" s="94"/>
      <c r="F65" s="113"/>
      <c r="G65" s="95"/>
      <c r="H65" s="114"/>
    </row>
    <row r="66" spans="1:8" ht="62.25" customHeight="1" x14ac:dyDescent="0.2">
      <c r="A66" s="84" t="s">
        <v>572</v>
      </c>
      <c r="B66" s="98" t="s">
        <v>238</v>
      </c>
      <c r="C66" s="98" t="s">
        <v>155</v>
      </c>
      <c r="D66" s="99" t="s">
        <v>156</v>
      </c>
      <c r="E66" s="98"/>
      <c r="F66" s="122" t="s">
        <v>248</v>
      </c>
      <c r="G66" s="100"/>
      <c r="H66" s="123">
        <f>SUM(H67:H87)</f>
        <v>7782.37</v>
      </c>
    </row>
    <row r="67" spans="1:8" ht="58.5" customHeight="1" x14ac:dyDescent="0.2">
      <c r="A67" s="84" t="s">
        <v>573</v>
      </c>
      <c r="B67" s="94" t="s">
        <v>335</v>
      </c>
      <c r="C67" s="94" t="s">
        <v>16</v>
      </c>
      <c r="D67" s="101" t="s">
        <v>336</v>
      </c>
      <c r="E67" s="94" t="s">
        <v>337</v>
      </c>
      <c r="F67" s="113">
        <v>0.1</v>
      </c>
      <c r="G67" s="115">
        <v>268.37</v>
      </c>
      <c r="H67" s="114">
        <f>TRUNC(F67*G67,2)</f>
        <v>26.83</v>
      </c>
    </row>
    <row r="68" spans="1:8" ht="24" customHeight="1" x14ac:dyDescent="0.2">
      <c r="A68" s="84" t="s">
        <v>574</v>
      </c>
      <c r="B68" s="94" t="s">
        <v>333</v>
      </c>
      <c r="C68" s="94" t="s">
        <v>16</v>
      </c>
      <c r="D68" s="101" t="s">
        <v>334</v>
      </c>
      <c r="E68" s="94" t="s">
        <v>25</v>
      </c>
      <c r="F68" s="113">
        <v>17.753440000000001</v>
      </c>
      <c r="G68" s="115">
        <v>19.940000000000001</v>
      </c>
      <c r="H68" s="114">
        <f t="shared" ref="H68:H87" si="7">TRUNC(F68*G68,2)</f>
        <v>354</v>
      </c>
    </row>
    <row r="69" spans="1:8" ht="24" customHeight="1" x14ac:dyDescent="0.2">
      <c r="A69" s="84" t="s">
        <v>575</v>
      </c>
      <c r="B69" s="94" t="s">
        <v>338</v>
      </c>
      <c r="C69" s="94" t="s">
        <v>16</v>
      </c>
      <c r="D69" s="101" t="s">
        <v>339</v>
      </c>
      <c r="E69" s="94" t="s">
        <v>25</v>
      </c>
      <c r="F69" s="113">
        <v>0.73690800000000001</v>
      </c>
      <c r="G69" s="115">
        <v>19.829999999999998</v>
      </c>
      <c r="H69" s="114">
        <f t="shared" si="7"/>
        <v>14.61</v>
      </c>
    </row>
    <row r="70" spans="1:8" ht="24" customHeight="1" x14ac:dyDescent="0.2">
      <c r="A70" s="84" t="s">
        <v>576</v>
      </c>
      <c r="B70" s="94" t="s">
        <v>273</v>
      </c>
      <c r="C70" s="94" t="s">
        <v>16</v>
      </c>
      <c r="D70" s="101" t="s">
        <v>268</v>
      </c>
      <c r="E70" s="94" t="s">
        <v>25</v>
      </c>
      <c r="F70" s="113">
        <v>14.861656</v>
      </c>
      <c r="G70" s="115">
        <v>16.3</v>
      </c>
      <c r="H70" s="114">
        <f t="shared" si="7"/>
        <v>242.24</v>
      </c>
    </row>
    <row r="71" spans="1:8" ht="31.5" customHeight="1" x14ac:dyDescent="0.2">
      <c r="A71" s="84" t="s">
        <v>577</v>
      </c>
      <c r="B71" s="94" t="s">
        <v>43</v>
      </c>
      <c r="C71" s="94" t="s">
        <v>16</v>
      </c>
      <c r="D71" s="101" t="s">
        <v>44</v>
      </c>
      <c r="E71" s="94" t="s">
        <v>40</v>
      </c>
      <c r="F71" s="113">
        <v>1.6819999999999999</v>
      </c>
      <c r="G71" s="115">
        <v>64.48</v>
      </c>
      <c r="H71" s="114">
        <f t="shared" si="7"/>
        <v>108.45</v>
      </c>
    </row>
    <row r="72" spans="1:8" ht="36" customHeight="1" x14ac:dyDescent="0.2">
      <c r="A72" s="84" t="s">
        <v>578</v>
      </c>
      <c r="B72" s="94" t="s">
        <v>340</v>
      </c>
      <c r="C72" s="94" t="s">
        <v>16</v>
      </c>
      <c r="D72" s="101" t="s">
        <v>341</v>
      </c>
      <c r="E72" s="94" t="s">
        <v>47</v>
      </c>
      <c r="F72" s="113">
        <v>8.41</v>
      </c>
      <c r="G72" s="115">
        <v>2.5499999999999998</v>
      </c>
      <c r="H72" s="114">
        <f t="shared" si="7"/>
        <v>21.44</v>
      </c>
    </row>
    <row r="73" spans="1:8" ht="44.25" customHeight="1" x14ac:dyDescent="0.2">
      <c r="A73" s="84" t="s">
        <v>579</v>
      </c>
      <c r="B73" s="94" t="s">
        <v>342</v>
      </c>
      <c r="C73" s="94" t="s">
        <v>16</v>
      </c>
      <c r="D73" s="101" t="s">
        <v>343</v>
      </c>
      <c r="E73" s="94" t="s">
        <v>40</v>
      </c>
      <c r="F73" s="113">
        <v>0.84099999999999997</v>
      </c>
      <c r="G73" s="115">
        <v>102.55</v>
      </c>
      <c r="H73" s="114">
        <f t="shared" si="7"/>
        <v>86.24</v>
      </c>
    </row>
    <row r="74" spans="1:8" ht="34.5" customHeight="1" x14ac:dyDescent="0.2">
      <c r="A74" s="84" t="s">
        <v>580</v>
      </c>
      <c r="B74" s="94" t="s">
        <v>344</v>
      </c>
      <c r="C74" s="94" t="s">
        <v>16</v>
      </c>
      <c r="D74" s="101" t="s">
        <v>345</v>
      </c>
      <c r="E74" s="94" t="s">
        <v>40</v>
      </c>
      <c r="F74" s="113">
        <v>0.51029999999999998</v>
      </c>
      <c r="G74" s="115">
        <v>508.92</v>
      </c>
      <c r="H74" s="114">
        <f t="shared" si="7"/>
        <v>259.7</v>
      </c>
    </row>
    <row r="75" spans="1:8" ht="46.5" customHeight="1" x14ac:dyDescent="0.2">
      <c r="A75" s="84" t="s">
        <v>581</v>
      </c>
      <c r="B75" s="94" t="s">
        <v>346</v>
      </c>
      <c r="C75" s="94" t="s">
        <v>16</v>
      </c>
      <c r="D75" s="101" t="s">
        <v>347</v>
      </c>
      <c r="E75" s="94" t="s">
        <v>40</v>
      </c>
      <c r="F75" s="113">
        <v>2.3508800000000001</v>
      </c>
      <c r="G75" s="115">
        <v>424.89</v>
      </c>
      <c r="H75" s="114">
        <f t="shared" si="7"/>
        <v>998.86</v>
      </c>
    </row>
    <row r="76" spans="1:8" ht="34.5" customHeight="1" x14ac:dyDescent="0.2">
      <c r="A76" s="84" t="s">
        <v>582</v>
      </c>
      <c r="B76" s="94">
        <v>103670</v>
      </c>
      <c r="C76" s="94" t="s">
        <v>16</v>
      </c>
      <c r="D76" s="101" t="s">
        <v>115</v>
      </c>
      <c r="E76" s="94" t="s">
        <v>40</v>
      </c>
      <c r="F76" s="113">
        <v>2.8611800000000001</v>
      </c>
      <c r="G76" s="115">
        <v>219.96</v>
      </c>
      <c r="H76" s="114">
        <f t="shared" si="7"/>
        <v>629.34</v>
      </c>
    </row>
    <row r="77" spans="1:8" ht="34.5" customHeight="1" x14ac:dyDescent="0.2">
      <c r="A77" s="84" t="s">
        <v>583</v>
      </c>
      <c r="B77" s="94" t="s">
        <v>348</v>
      </c>
      <c r="C77" s="94" t="s">
        <v>16</v>
      </c>
      <c r="D77" s="101" t="s">
        <v>349</v>
      </c>
      <c r="E77" s="94" t="s">
        <v>248</v>
      </c>
      <c r="F77" s="113">
        <v>176.22471999999999</v>
      </c>
      <c r="G77" s="115">
        <v>4.21</v>
      </c>
      <c r="H77" s="114">
        <f t="shared" si="7"/>
        <v>741.9</v>
      </c>
    </row>
    <row r="78" spans="1:8" ht="34.5" customHeight="1" x14ac:dyDescent="0.2">
      <c r="A78" s="84" t="s">
        <v>584</v>
      </c>
      <c r="B78" s="94" t="s">
        <v>350</v>
      </c>
      <c r="C78" s="94" t="s">
        <v>16</v>
      </c>
      <c r="D78" s="101" t="s">
        <v>351</v>
      </c>
      <c r="E78" s="94" t="s">
        <v>248</v>
      </c>
      <c r="F78" s="113">
        <v>63.737760000000002</v>
      </c>
      <c r="G78" s="115">
        <v>2.48</v>
      </c>
      <c r="H78" s="114">
        <f t="shared" si="7"/>
        <v>158.06</v>
      </c>
    </row>
    <row r="79" spans="1:8" ht="34.5" customHeight="1" x14ac:dyDescent="0.2">
      <c r="A79" s="84" t="s">
        <v>585</v>
      </c>
      <c r="B79" s="94" t="s">
        <v>352</v>
      </c>
      <c r="C79" s="94" t="s">
        <v>16</v>
      </c>
      <c r="D79" s="101" t="s">
        <v>353</v>
      </c>
      <c r="E79" s="94" t="s">
        <v>248</v>
      </c>
      <c r="F79" s="113">
        <v>41.182160000000003</v>
      </c>
      <c r="G79" s="115">
        <v>4.9000000000000004</v>
      </c>
      <c r="H79" s="114">
        <f t="shared" si="7"/>
        <v>201.79</v>
      </c>
    </row>
    <row r="80" spans="1:8" ht="41.25" customHeight="1" x14ac:dyDescent="0.2">
      <c r="A80" s="84" t="s">
        <v>586</v>
      </c>
      <c r="B80" s="94">
        <v>87322</v>
      </c>
      <c r="C80" s="94" t="s">
        <v>16</v>
      </c>
      <c r="D80" s="101" t="s">
        <v>355</v>
      </c>
      <c r="E80" s="94" t="s">
        <v>40</v>
      </c>
      <c r="F80" s="113">
        <v>0.53412599999999999</v>
      </c>
      <c r="G80" s="115">
        <v>3501.92</v>
      </c>
      <c r="H80" s="114">
        <f t="shared" si="7"/>
        <v>1870.46</v>
      </c>
    </row>
    <row r="81" spans="1:8" ht="41.25" customHeight="1" x14ac:dyDescent="0.2">
      <c r="A81" s="84" t="s">
        <v>587</v>
      </c>
      <c r="B81" s="94" t="s">
        <v>356</v>
      </c>
      <c r="C81" s="94" t="s">
        <v>16</v>
      </c>
      <c r="D81" s="101" t="s">
        <v>357</v>
      </c>
      <c r="E81" s="94" t="s">
        <v>47</v>
      </c>
      <c r="F81" s="113">
        <v>13.464</v>
      </c>
      <c r="G81" s="115">
        <v>3.96</v>
      </c>
      <c r="H81" s="114">
        <f t="shared" si="7"/>
        <v>53.31</v>
      </c>
    </row>
    <row r="82" spans="1:8" ht="42" customHeight="1" x14ac:dyDescent="0.2">
      <c r="A82" s="84" t="s">
        <v>588</v>
      </c>
      <c r="B82" s="94" t="s">
        <v>358</v>
      </c>
      <c r="C82" s="94" t="s">
        <v>16</v>
      </c>
      <c r="D82" s="101" t="s">
        <v>359</v>
      </c>
      <c r="E82" s="94" t="s">
        <v>246</v>
      </c>
      <c r="F82" s="113">
        <v>15.84</v>
      </c>
      <c r="G82" s="115">
        <v>8.4700000000000006</v>
      </c>
      <c r="H82" s="114">
        <f t="shared" si="7"/>
        <v>134.16</v>
      </c>
    </row>
    <row r="83" spans="1:8" ht="42" customHeight="1" x14ac:dyDescent="0.2">
      <c r="A83" s="84" t="s">
        <v>589</v>
      </c>
      <c r="B83" s="94" t="s">
        <v>360</v>
      </c>
      <c r="C83" s="94" t="s">
        <v>16</v>
      </c>
      <c r="D83" s="101" t="s">
        <v>361</v>
      </c>
      <c r="E83" s="94" t="s">
        <v>47</v>
      </c>
      <c r="F83" s="113">
        <v>5.0244</v>
      </c>
      <c r="G83" s="115">
        <v>41.81</v>
      </c>
      <c r="H83" s="114">
        <f t="shared" si="7"/>
        <v>210.07</v>
      </c>
    </row>
    <row r="84" spans="1:8" ht="42" customHeight="1" x14ac:dyDescent="0.2">
      <c r="A84" s="84" t="s">
        <v>590</v>
      </c>
      <c r="B84" s="94" t="s">
        <v>362</v>
      </c>
      <c r="C84" s="94" t="s">
        <v>16</v>
      </c>
      <c r="D84" s="101" t="s">
        <v>363</v>
      </c>
      <c r="E84" s="94" t="s">
        <v>47</v>
      </c>
      <c r="F84" s="113">
        <v>2.9159999999999999</v>
      </c>
      <c r="G84" s="115">
        <v>67.88</v>
      </c>
      <c r="H84" s="114">
        <f t="shared" si="7"/>
        <v>197.93</v>
      </c>
    </row>
    <row r="85" spans="1:8" ht="30.75" customHeight="1" x14ac:dyDescent="0.2">
      <c r="A85" s="84" t="s">
        <v>591</v>
      </c>
      <c r="B85" s="94" t="s">
        <v>364</v>
      </c>
      <c r="C85" s="94" t="s">
        <v>16</v>
      </c>
      <c r="D85" s="101" t="s">
        <v>365</v>
      </c>
      <c r="E85" s="94" t="s">
        <v>278</v>
      </c>
      <c r="F85" s="113">
        <v>8.8606700000000007</v>
      </c>
      <c r="G85" s="115">
        <v>17.54</v>
      </c>
      <c r="H85" s="114">
        <f t="shared" si="7"/>
        <v>155.41</v>
      </c>
    </row>
    <row r="86" spans="1:8" ht="48" customHeight="1" x14ac:dyDescent="0.2">
      <c r="A86" s="84" t="s">
        <v>592</v>
      </c>
      <c r="B86" s="94" t="s">
        <v>366</v>
      </c>
      <c r="C86" s="94" t="s">
        <v>16</v>
      </c>
      <c r="D86" s="101" t="s">
        <v>367</v>
      </c>
      <c r="E86" s="94" t="s">
        <v>47</v>
      </c>
      <c r="F86" s="113">
        <v>24.563600000000001</v>
      </c>
      <c r="G86" s="115">
        <v>53.11</v>
      </c>
      <c r="H86" s="114">
        <f t="shared" si="7"/>
        <v>1304.57</v>
      </c>
    </row>
    <row r="87" spans="1:8" ht="24" customHeight="1" x14ac:dyDescent="0.2">
      <c r="A87" s="84" t="s">
        <v>593</v>
      </c>
      <c r="B87" s="94" t="s">
        <v>309</v>
      </c>
      <c r="C87" s="94" t="s">
        <v>16</v>
      </c>
      <c r="D87" s="101" t="s">
        <v>310</v>
      </c>
      <c r="E87" s="94" t="s">
        <v>278</v>
      </c>
      <c r="F87" s="113">
        <v>0.368454</v>
      </c>
      <c r="G87" s="115">
        <v>35.299999999999997</v>
      </c>
      <c r="H87" s="114">
        <f t="shared" si="7"/>
        <v>13</v>
      </c>
    </row>
    <row r="88" spans="1:8" ht="24" customHeight="1" x14ac:dyDescent="0.2">
      <c r="A88" s="84" t="s">
        <v>594</v>
      </c>
      <c r="B88" s="94"/>
      <c r="C88" s="94"/>
      <c r="D88" s="101"/>
      <c r="E88" s="94"/>
      <c r="F88" s="113"/>
      <c r="G88" s="95"/>
      <c r="H88" s="114"/>
    </row>
    <row r="89" spans="1:8" ht="58.5" hidden="1" customHeight="1" x14ac:dyDescent="0.2">
      <c r="A89" s="84" t="s">
        <v>595</v>
      </c>
      <c r="B89" s="98" t="s">
        <v>238</v>
      </c>
      <c r="C89" s="98" t="s">
        <v>157</v>
      </c>
      <c r="D89" s="99" t="s">
        <v>158</v>
      </c>
      <c r="E89" s="98"/>
      <c r="F89" s="122" t="s">
        <v>248</v>
      </c>
      <c r="G89" s="100"/>
      <c r="H89" s="123">
        <f>SUM(H90:H110)</f>
        <v>6110.57</v>
      </c>
    </row>
    <row r="90" spans="1:8" ht="54" hidden="1" customHeight="1" x14ac:dyDescent="0.2">
      <c r="A90" s="84" t="s">
        <v>596</v>
      </c>
      <c r="B90" s="94" t="s">
        <v>335</v>
      </c>
      <c r="C90" s="94" t="s">
        <v>16</v>
      </c>
      <c r="D90" s="101" t="s">
        <v>336</v>
      </c>
      <c r="E90" s="94" t="s">
        <v>337</v>
      </c>
      <c r="F90" s="113">
        <v>0.1</v>
      </c>
      <c r="G90" s="115">
        <v>214.78</v>
      </c>
      <c r="H90" s="114">
        <f>TRUNC(F90*G90,2)</f>
        <v>21.47</v>
      </c>
    </row>
    <row r="91" spans="1:8" ht="24" hidden="1" customHeight="1" x14ac:dyDescent="0.2">
      <c r="A91" s="84" t="s">
        <v>597</v>
      </c>
      <c r="B91" s="94" t="s">
        <v>333</v>
      </c>
      <c r="C91" s="94" t="s">
        <v>16</v>
      </c>
      <c r="D91" s="101" t="s">
        <v>334</v>
      </c>
      <c r="E91" s="94" t="s">
        <v>25</v>
      </c>
      <c r="F91" s="113">
        <v>17.753440000000001</v>
      </c>
      <c r="G91" s="115">
        <v>19.940000000000001</v>
      </c>
      <c r="H91" s="114">
        <f t="shared" ref="H91:H110" si="8">TRUNC(F91*G91,2)</f>
        <v>354</v>
      </c>
    </row>
    <row r="92" spans="1:8" ht="24" hidden="1" customHeight="1" x14ac:dyDescent="0.2">
      <c r="A92" s="84" t="s">
        <v>598</v>
      </c>
      <c r="B92" s="94" t="s">
        <v>338</v>
      </c>
      <c r="C92" s="94" t="s">
        <v>16</v>
      </c>
      <c r="D92" s="101" t="s">
        <v>339</v>
      </c>
      <c r="E92" s="94" t="s">
        <v>25</v>
      </c>
      <c r="F92" s="113">
        <v>0.73690800000000001</v>
      </c>
      <c r="G92" s="115">
        <v>19.829999999999998</v>
      </c>
      <c r="H92" s="114">
        <f t="shared" si="8"/>
        <v>14.61</v>
      </c>
    </row>
    <row r="93" spans="1:8" ht="24" hidden="1" customHeight="1" x14ac:dyDescent="0.2">
      <c r="A93" s="84" t="s">
        <v>599</v>
      </c>
      <c r="B93" s="94" t="s">
        <v>273</v>
      </c>
      <c r="C93" s="94" t="s">
        <v>16</v>
      </c>
      <c r="D93" s="101" t="s">
        <v>268</v>
      </c>
      <c r="E93" s="94" t="s">
        <v>25</v>
      </c>
      <c r="F93" s="113">
        <v>14.861656</v>
      </c>
      <c r="G93" s="115">
        <v>16.3</v>
      </c>
      <c r="H93" s="114">
        <f t="shared" si="8"/>
        <v>242.24</v>
      </c>
    </row>
    <row r="94" spans="1:8" ht="27.75" hidden="1" customHeight="1" x14ac:dyDescent="0.2">
      <c r="A94" s="84" t="s">
        <v>600</v>
      </c>
      <c r="B94" s="94" t="s">
        <v>43</v>
      </c>
      <c r="C94" s="94" t="s">
        <v>16</v>
      </c>
      <c r="D94" s="101" t="s">
        <v>44</v>
      </c>
      <c r="E94" s="94" t="s">
        <v>40</v>
      </c>
      <c r="F94" s="113">
        <v>1.6819999999999999</v>
      </c>
      <c r="G94" s="115">
        <v>64.48</v>
      </c>
      <c r="H94" s="114">
        <f t="shared" si="8"/>
        <v>108.45</v>
      </c>
    </row>
    <row r="95" spans="1:8" ht="33.75" hidden="1" customHeight="1" x14ac:dyDescent="0.2">
      <c r="A95" s="84" t="s">
        <v>601</v>
      </c>
      <c r="B95" s="94" t="s">
        <v>340</v>
      </c>
      <c r="C95" s="94" t="s">
        <v>16</v>
      </c>
      <c r="D95" s="101" t="s">
        <v>341</v>
      </c>
      <c r="E95" s="94" t="s">
        <v>47</v>
      </c>
      <c r="F95" s="113">
        <v>8.41</v>
      </c>
      <c r="G95" s="115">
        <v>2.5499999999999998</v>
      </c>
      <c r="H95" s="114">
        <f t="shared" si="8"/>
        <v>21.44</v>
      </c>
    </row>
    <row r="96" spans="1:8" ht="42" hidden="1" customHeight="1" x14ac:dyDescent="0.2">
      <c r="A96" s="84" t="s">
        <v>602</v>
      </c>
      <c r="B96" s="94" t="s">
        <v>342</v>
      </c>
      <c r="C96" s="94" t="s">
        <v>16</v>
      </c>
      <c r="D96" s="101" t="s">
        <v>343</v>
      </c>
      <c r="E96" s="94" t="s">
        <v>40</v>
      </c>
      <c r="F96" s="113">
        <v>0.84099999999999997</v>
      </c>
      <c r="G96" s="115">
        <v>104.21</v>
      </c>
      <c r="H96" s="114">
        <f t="shared" si="8"/>
        <v>87.64</v>
      </c>
    </row>
    <row r="97" spans="1:8" ht="33.75" hidden="1" customHeight="1" x14ac:dyDescent="0.2">
      <c r="A97" s="84" t="s">
        <v>603</v>
      </c>
      <c r="B97" s="94" t="s">
        <v>344</v>
      </c>
      <c r="C97" s="94" t="s">
        <v>16</v>
      </c>
      <c r="D97" s="101" t="s">
        <v>345</v>
      </c>
      <c r="E97" s="94" t="s">
        <v>40</v>
      </c>
      <c r="F97" s="113">
        <v>0.51029999999999998</v>
      </c>
      <c r="G97" s="115">
        <v>484.12</v>
      </c>
      <c r="H97" s="114">
        <f t="shared" si="8"/>
        <v>247.04</v>
      </c>
    </row>
    <row r="98" spans="1:8" ht="44.25" hidden="1" customHeight="1" x14ac:dyDescent="0.2">
      <c r="A98" s="84" t="s">
        <v>604</v>
      </c>
      <c r="B98" s="94" t="s">
        <v>346</v>
      </c>
      <c r="C98" s="94" t="s">
        <v>16</v>
      </c>
      <c r="D98" s="101" t="s">
        <v>347</v>
      </c>
      <c r="E98" s="94" t="s">
        <v>40</v>
      </c>
      <c r="F98" s="113">
        <v>2.2558400000000001</v>
      </c>
      <c r="G98" s="115">
        <v>397.32</v>
      </c>
      <c r="H98" s="114">
        <f t="shared" si="8"/>
        <v>896.29</v>
      </c>
    </row>
    <row r="99" spans="1:8" ht="33.75" hidden="1" customHeight="1" x14ac:dyDescent="0.2">
      <c r="A99" s="84" t="s">
        <v>605</v>
      </c>
      <c r="B99" s="94" t="s">
        <v>114</v>
      </c>
      <c r="C99" s="94" t="s">
        <v>16</v>
      </c>
      <c r="D99" s="101" t="s">
        <v>115</v>
      </c>
      <c r="E99" s="94" t="s">
        <v>40</v>
      </c>
      <c r="F99" s="113">
        <v>2.76614</v>
      </c>
      <c r="G99" s="115">
        <v>164.74</v>
      </c>
      <c r="H99" s="114">
        <f t="shared" si="8"/>
        <v>455.69</v>
      </c>
    </row>
    <row r="100" spans="1:8" ht="33.75" hidden="1" customHeight="1" x14ac:dyDescent="0.2">
      <c r="A100" s="84" t="s">
        <v>606</v>
      </c>
      <c r="B100" s="94" t="s">
        <v>348</v>
      </c>
      <c r="C100" s="94" t="s">
        <v>16</v>
      </c>
      <c r="D100" s="101" t="s">
        <v>349</v>
      </c>
      <c r="E100" s="94" t="s">
        <v>248</v>
      </c>
      <c r="F100" s="113">
        <v>176.22471999999999</v>
      </c>
      <c r="G100" s="115">
        <v>4.13</v>
      </c>
      <c r="H100" s="114">
        <f t="shared" si="8"/>
        <v>727.8</v>
      </c>
    </row>
    <row r="101" spans="1:8" ht="33.75" hidden="1" customHeight="1" x14ac:dyDescent="0.2">
      <c r="A101" s="84" t="s">
        <v>607</v>
      </c>
      <c r="B101" s="94" t="s">
        <v>350</v>
      </c>
      <c r="C101" s="94" t="s">
        <v>16</v>
      </c>
      <c r="D101" s="101" t="s">
        <v>351</v>
      </c>
      <c r="E101" s="94" t="s">
        <v>248</v>
      </c>
      <c r="F101" s="113">
        <v>63.737760000000002</v>
      </c>
      <c r="G101" s="115">
        <v>2.4300000000000002</v>
      </c>
      <c r="H101" s="114">
        <f t="shared" si="8"/>
        <v>154.88</v>
      </c>
    </row>
    <row r="102" spans="1:8" ht="33.75" hidden="1" customHeight="1" x14ac:dyDescent="0.2">
      <c r="A102" s="84" t="s">
        <v>608</v>
      </c>
      <c r="B102" s="94" t="s">
        <v>352</v>
      </c>
      <c r="C102" s="94" t="s">
        <v>16</v>
      </c>
      <c r="D102" s="101" t="s">
        <v>353</v>
      </c>
      <c r="E102" s="94" t="s">
        <v>248</v>
      </c>
      <c r="F102" s="113">
        <v>41.182160000000003</v>
      </c>
      <c r="G102" s="115">
        <v>4.8099999999999996</v>
      </c>
      <c r="H102" s="114">
        <f t="shared" si="8"/>
        <v>198.08</v>
      </c>
    </row>
    <row r="103" spans="1:8" ht="45.75" hidden="1" customHeight="1" x14ac:dyDescent="0.2">
      <c r="A103" s="84" t="s">
        <v>609</v>
      </c>
      <c r="B103" s="94" t="s">
        <v>354</v>
      </c>
      <c r="C103" s="94" t="s">
        <v>16</v>
      </c>
      <c r="D103" s="101" t="s">
        <v>355</v>
      </c>
      <c r="E103" s="94" t="s">
        <v>40</v>
      </c>
      <c r="F103" s="113">
        <v>0.53412599999999999</v>
      </c>
      <c r="G103" s="115">
        <v>594.12</v>
      </c>
      <c r="H103" s="114">
        <f t="shared" si="8"/>
        <v>317.33</v>
      </c>
    </row>
    <row r="104" spans="1:8" ht="45.75" hidden="1" customHeight="1" x14ac:dyDescent="0.2">
      <c r="A104" s="84" t="s">
        <v>610</v>
      </c>
      <c r="B104" s="94" t="s">
        <v>356</v>
      </c>
      <c r="C104" s="94" t="s">
        <v>16</v>
      </c>
      <c r="D104" s="101" t="s">
        <v>357</v>
      </c>
      <c r="E104" s="94" t="s">
        <v>47</v>
      </c>
      <c r="F104" s="113">
        <v>13.464</v>
      </c>
      <c r="G104" s="115">
        <v>3.79</v>
      </c>
      <c r="H104" s="114">
        <f t="shared" si="8"/>
        <v>51.02</v>
      </c>
    </row>
    <row r="105" spans="1:8" ht="45.75" hidden="1" customHeight="1" x14ac:dyDescent="0.2">
      <c r="A105" s="84" t="s">
        <v>611</v>
      </c>
      <c r="B105" s="94" t="s">
        <v>358</v>
      </c>
      <c r="C105" s="94" t="s">
        <v>16</v>
      </c>
      <c r="D105" s="101" t="s">
        <v>359</v>
      </c>
      <c r="E105" s="94" t="s">
        <v>246</v>
      </c>
      <c r="F105" s="113">
        <v>7.92</v>
      </c>
      <c r="G105" s="115">
        <v>10.43</v>
      </c>
      <c r="H105" s="114">
        <f t="shared" si="8"/>
        <v>82.6</v>
      </c>
    </row>
    <row r="106" spans="1:8" ht="45.75" hidden="1" customHeight="1" x14ac:dyDescent="0.2">
      <c r="A106" s="84" t="s">
        <v>612</v>
      </c>
      <c r="B106" s="94" t="s">
        <v>360</v>
      </c>
      <c r="C106" s="94" t="s">
        <v>16</v>
      </c>
      <c r="D106" s="101" t="s">
        <v>361</v>
      </c>
      <c r="E106" s="94" t="s">
        <v>47</v>
      </c>
      <c r="F106" s="113">
        <v>5.0244</v>
      </c>
      <c r="G106" s="115">
        <v>29.74</v>
      </c>
      <c r="H106" s="114">
        <f t="shared" si="8"/>
        <v>149.41999999999999</v>
      </c>
    </row>
    <row r="107" spans="1:8" ht="45.75" hidden="1" customHeight="1" x14ac:dyDescent="0.2">
      <c r="A107" s="84" t="s">
        <v>613</v>
      </c>
      <c r="B107" s="94" t="s">
        <v>362</v>
      </c>
      <c r="C107" s="94" t="s">
        <v>16</v>
      </c>
      <c r="D107" s="101" t="s">
        <v>363</v>
      </c>
      <c r="E107" s="94" t="s">
        <v>47</v>
      </c>
      <c r="F107" s="113">
        <v>2.9159999999999999</v>
      </c>
      <c r="G107" s="115">
        <v>66.010000000000005</v>
      </c>
      <c r="H107" s="114">
        <f t="shared" si="8"/>
        <v>192.48</v>
      </c>
    </row>
    <row r="108" spans="1:8" ht="33.75" hidden="1" customHeight="1" x14ac:dyDescent="0.2">
      <c r="A108" s="84" t="s">
        <v>614</v>
      </c>
      <c r="B108" s="94" t="s">
        <v>364</v>
      </c>
      <c r="C108" s="94" t="s">
        <v>16</v>
      </c>
      <c r="D108" s="101" t="s">
        <v>365</v>
      </c>
      <c r="E108" s="94" t="s">
        <v>278</v>
      </c>
      <c r="F108" s="113">
        <v>8.8606700000000007</v>
      </c>
      <c r="G108" s="115">
        <v>19.04</v>
      </c>
      <c r="H108" s="114">
        <f t="shared" si="8"/>
        <v>168.7</v>
      </c>
    </row>
    <row r="109" spans="1:8" ht="42" hidden="1" customHeight="1" x14ac:dyDescent="0.2">
      <c r="A109" s="84" t="s">
        <v>615</v>
      </c>
      <c r="B109" s="94" t="s">
        <v>366</v>
      </c>
      <c r="C109" s="94" t="s">
        <v>16</v>
      </c>
      <c r="D109" s="101" t="s">
        <v>367</v>
      </c>
      <c r="E109" s="94" t="s">
        <v>47</v>
      </c>
      <c r="F109" s="113">
        <v>24.563600000000001</v>
      </c>
      <c r="G109" s="115">
        <v>65.39</v>
      </c>
      <c r="H109" s="114">
        <f t="shared" si="8"/>
        <v>1606.21</v>
      </c>
    </row>
    <row r="110" spans="1:8" ht="19.5" hidden="1" customHeight="1" x14ac:dyDescent="0.2">
      <c r="A110" s="84" t="s">
        <v>616</v>
      </c>
      <c r="B110" s="94" t="s">
        <v>309</v>
      </c>
      <c r="C110" s="94" t="s">
        <v>16</v>
      </c>
      <c r="D110" s="101" t="s">
        <v>310</v>
      </c>
      <c r="E110" s="94" t="s">
        <v>278</v>
      </c>
      <c r="F110" s="113">
        <v>0.368454</v>
      </c>
      <c r="G110" s="115">
        <v>35.79</v>
      </c>
      <c r="H110" s="114">
        <f t="shared" si="8"/>
        <v>13.18</v>
      </c>
    </row>
    <row r="111" spans="1:8" ht="24" hidden="1" customHeight="1" x14ac:dyDescent="0.2">
      <c r="A111" s="84" t="s">
        <v>617</v>
      </c>
      <c r="B111" s="94"/>
      <c r="C111" s="94"/>
      <c r="D111" s="101"/>
      <c r="E111" s="94"/>
      <c r="F111" s="113"/>
      <c r="G111" s="95"/>
      <c r="H111" s="114"/>
    </row>
    <row r="112" spans="1:8" ht="57.75" customHeight="1" x14ac:dyDescent="0.2">
      <c r="A112" s="84" t="s">
        <v>618</v>
      </c>
      <c r="B112" s="98" t="s">
        <v>238</v>
      </c>
      <c r="C112" s="98" t="s">
        <v>159</v>
      </c>
      <c r="D112" s="99" t="s">
        <v>264</v>
      </c>
      <c r="E112" s="98"/>
      <c r="F112" s="122" t="s">
        <v>248</v>
      </c>
      <c r="G112" s="100"/>
      <c r="H112" s="123">
        <f>SUM(H113:H124)</f>
        <v>1476</v>
      </c>
    </row>
    <row r="113" spans="1:8" ht="54.75" customHeight="1" x14ac:dyDescent="0.2">
      <c r="A113" s="84" t="s">
        <v>619</v>
      </c>
      <c r="B113" s="94" t="s">
        <v>335</v>
      </c>
      <c r="C113" s="94" t="s">
        <v>16</v>
      </c>
      <c r="D113" s="101" t="s">
        <v>336</v>
      </c>
      <c r="E113" s="94" t="s">
        <v>337</v>
      </c>
      <c r="F113" s="113">
        <v>0.1</v>
      </c>
      <c r="G113" s="115">
        <v>268.37</v>
      </c>
      <c r="H113" s="114">
        <f>TRUNC(F113*G113,2)</f>
        <v>26.83</v>
      </c>
    </row>
    <row r="114" spans="1:8" ht="24" customHeight="1" x14ac:dyDescent="0.2">
      <c r="A114" s="84" t="s">
        <v>620</v>
      </c>
      <c r="B114" s="94" t="s">
        <v>273</v>
      </c>
      <c r="C114" s="94" t="s">
        <v>16</v>
      </c>
      <c r="D114" s="101" t="s">
        <v>268</v>
      </c>
      <c r="E114" s="94" t="s">
        <v>25</v>
      </c>
      <c r="F114" s="113">
        <v>0.83125000000000004</v>
      </c>
      <c r="G114" s="115">
        <v>16.3</v>
      </c>
      <c r="H114" s="114">
        <f t="shared" ref="H114:H124" si="9">TRUNC(F114*G114,2)</f>
        <v>13.54</v>
      </c>
    </row>
    <row r="115" spans="1:8" ht="24" customHeight="1" x14ac:dyDescent="0.2">
      <c r="A115" s="84" t="s">
        <v>621</v>
      </c>
      <c r="B115" s="94" t="s">
        <v>43</v>
      </c>
      <c r="C115" s="94" t="s">
        <v>16</v>
      </c>
      <c r="D115" s="101" t="s">
        <v>44</v>
      </c>
      <c r="E115" s="94" t="s">
        <v>40</v>
      </c>
      <c r="F115" s="113">
        <v>0.95</v>
      </c>
      <c r="G115" s="115">
        <v>64.48</v>
      </c>
      <c r="H115" s="114">
        <f t="shared" si="9"/>
        <v>61.25</v>
      </c>
    </row>
    <row r="116" spans="1:8" ht="36" customHeight="1" x14ac:dyDescent="0.2">
      <c r="A116" s="84" t="s">
        <v>622</v>
      </c>
      <c r="B116" s="94" t="s">
        <v>340</v>
      </c>
      <c r="C116" s="94" t="s">
        <v>16</v>
      </c>
      <c r="D116" s="101" t="s">
        <v>341</v>
      </c>
      <c r="E116" s="94" t="s">
        <v>47</v>
      </c>
      <c r="F116" s="113">
        <v>2.06</v>
      </c>
      <c r="G116" s="115">
        <v>2.5499999999999998</v>
      </c>
      <c r="H116" s="114">
        <f t="shared" si="9"/>
        <v>5.25</v>
      </c>
    </row>
    <row r="117" spans="1:8" ht="56.25" customHeight="1" x14ac:dyDescent="0.2">
      <c r="A117" s="84" t="s">
        <v>623</v>
      </c>
      <c r="B117" s="94" t="s">
        <v>368</v>
      </c>
      <c r="C117" s="94" t="s">
        <v>16</v>
      </c>
      <c r="D117" s="101" t="s">
        <v>369</v>
      </c>
      <c r="E117" s="94" t="s">
        <v>47</v>
      </c>
      <c r="F117" s="113">
        <v>3.62</v>
      </c>
      <c r="G117" s="115">
        <v>51.63</v>
      </c>
      <c r="H117" s="114">
        <f t="shared" si="9"/>
        <v>186.9</v>
      </c>
    </row>
    <row r="118" spans="1:8" ht="45.75" customHeight="1" x14ac:dyDescent="0.2">
      <c r="A118" s="84" t="s">
        <v>624</v>
      </c>
      <c r="B118" s="94" t="s">
        <v>370</v>
      </c>
      <c r="C118" s="94" t="s">
        <v>16</v>
      </c>
      <c r="D118" s="101" t="s">
        <v>371</v>
      </c>
      <c r="E118" s="94" t="s">
        <v>278</v>
      </c>
      <c r="F118" s="113">
        <v>0.92</v>
      </c>
      <c r="G118" s="115">
        <v>17.21</v>
      </c>
      <c r="H118" s="114">
        <f t="shared" si="9"/>
        <v>15.83</v>
      </c>
    </row>
    <row r="119" spans="1:8" ht="45.75" customHeight="1" x14ac:dyDescent="0.2">
      <c r="A119" s="84" t="s">
        <v>625</v>
      </c>
      <c r="B119" s="94" t="s">
        <v>372</v>
      </c>
      <c r="C119" s="94" t="s">
        <v>16</v>
      </c>
      <c r="D119" s="101" t="s">
        <v>373</v>
      </c>
      <c r="E119" s="94" t="s">
        <v>278</v>
      </c>
      <c r="F119" s="113">
        <v>4.5</v>
      </c>
      <c r="G119" s="115">
        <v>15.97</v>
      </c>
      <c r="H119" s="114">
        <f t="shared" si="9"/>
        <v>71.86</v>
      </c>
    </row>
    <row r="120" spans="1:8" ht="45.75" customHeight="1" x14ac:dyDescent="0.2">
      <c r="A120" s="84" t="s">
        <v>626</v>
      </c>
      <c r="B120" s="94" t="s">
        <v>346</v>
      </c>
      <c r="C120" s="94" t="s">
        <v>16</v>
      </c>
      <c r="D120" s="101" t="s">
        <v>347</v>
      </c>
      <c r="E120" s="94" t="s">
        <v>40</v>
      </c>
      <c r="F120" s="113">
        <v>0.72899999999999998</v>
      </c>
      <c r="G120" s="115">
        <v>424.89</v>
      </c>
      <c r="H120" s="114">
        <f t="shared" si="9"/>
        <v>309.74</v>
      </c>
    </row>
    <row r="121" spans="1:8" ht="36.75" customHeight="1" x14ac:dyDescent="0.2">
      <c r="A121" s="84" t="s">
        <v>627</v>
      </c>
      <c r="B121" s="94">
        <v>103670</v>
      </c>
      <c r="C121" s="94" t="s">
        <v>16</v>
      </c>
      <c r="D121" s="101" t="s">
        <v>115</v>
      </c>
      <c r="E121" s="94" t="s">
        <v>40</v>
      </c>
      <c r="F121" s="113">
        <v>0.72899999999999998</v>
      </c>
      <c r="G121" s="115">
        <v>219.96</v>
      </c>
      <c r="H121" s="114">
        <f t="shared" si="9"/>
        <v>160.35</v>
      </c>
    </row>
    <row r="122" spans="1:8" ht="36.75" customHeight="1" x14ac:dyDescent="0.2">
      <c r="A122" s="84" t="s">
        <v>628</v>
      </c>
      <c r="B122" s="92" t="s">
        <v>252</v>
      </c>
      <c r="C122" s="92" t="s">
        <v>251</v>
      </c>
      <c r="D122" s="102" t="s">
        <v>449</v>
      </c>
      <c r="E122" s="93" t="s">
        <v>144</v>
      </c>
      <c r="F122" s="116">
        <v>1</v>
      </c>
      <c r="G122" s="96">
        <v>566.88</v>
      </c>
      <c r="H122" s="114">
        <f t="shared" si="9"/>
        <v>566.88</v>
      </c>
    </row>
    <row r="123" spans="1:8" ht="36.75" customHeight="1" x14ac:dyDescent="0.2">
      <c r="A123" s="84" t="s">
        <v>629</v>
      </c>
      <c r="B123" s="92" t="s">
        <v>161</v>
      </c>
      <c r="C123" s="92" t="s">
        <v>238</v>
      </c>
      <c r="D123" s="105" t="str">
        <f>D62</f>
        <v>DEMOLIÇÃO DE PAVIMENTO, DE FORMA MANUAL, SEM REAPROVEITAMENTO (REFER. SICRO CÓD. 1600436)</v>
      </c>
      <c r="E123" s="93" t="s">
        <v>146</v>
      </c>
      <c r="F123" s="116">
        <v>3.31</v>
      </c>
      <c r="G123" s="96">
        <f>H126</f>
        <v>3.19</v>
      </c>
      <c r="H123" s="114">
        <f t="shared" si="9"/>
        <v>10.55</v>
      </c>
    </row>
    <row r="124" spans="1:8" ht="36" customHeight="1" x14ac:dyDescent="0.2">
      <c r="A124" s="84" t="s">
        <v>630</v>
      </c>
      <c r="B124" s="94">
        <v>97914</v>
      </c>
      <c r="C124" s="94" t="s">
        <v>16</v>
      </c>
      <c r="D124" s="101" t="s">
        <v>331</v>
      </c>
      <c r="E124" s="94" t="s">
        <v>332</v>
      </c>
      <c r="F124" s="113">
        <v>17.8125</v>
      </c>
      <c r="G124" s="115">
        <v>2.64</v>
      </c>
      <c r="H124" s="114">
        <f t="shared" si="9"/>
        <v>47.02</v>
      </c>
    </row>
    <row r="125" spans="1:8" ht="21" customHeight="1" x14ac:dyDescent="0.2">
      <c r="A125" s="84" t="s">
        <v>631</v>
      </c>
      <c r="B125" s="94"/>
      <c r="C125" s="94"/>
      <c r="D125" s="101"/>
      <c r="E125" s="94"/>
      <c r="F125" s="113"/>
      <c r="G125" s="95"/>
      <c r="H125" s="114"/>
    </row>
    <row r="126" spans="1:8" ht="45.75" customHeight="1" x14ac:dyDescent="0.2">
      <c r="A126" s="84" t="s">
        <v>632</v>
      </c>
      <c r="B126" s="98" t="s">
        <v>238</v>
      </c>
      <c r="C126" s="98" t="s">
        <v>161</v>
      </c>
      <c r="D126" s="99" t="s">
        <v>162</v>
      </c>
      <c r="E126" s="98"/>
      <c r="F126" s="122" t="s">
        <v>246</v>
      </c>
      <c r="G126" s="100"/>
      <c r="H126" s="123">
        <f>SUM(H127:H129)</f>
        <v>3.19</v>
      </c>
    </row>
    <row r="127" spans="1:8" ht="54.75" customHeight="1" x14ac:dyDescent="0.2">
      <c r="A127" s="84" t="s">
        <v>633</v>
      </c>
      <c r="B127" s="94" t="s">
        <v>374</v>
      </c>
      <c r="C127" s="94" t="s">
        <v>16</v>
      </c>
      <c r="D127" s="101" t="s">
        <v>375</v>
      </c>
      <c r="E127" s="94" t="s">
        <v>337</v>
      </c>
      <c r="F127" s="113">
        <v>8.3000000000000004E-2</v>
      </c>
      <c r="G127" s="115">
        <v>12.11</v>
      </c>
      <c r="H127" s="114">
        <f>TRUNC(F127*G127,2)</f>
        <v>1</v>
      </c>
    </row>
    <row r="128" spans="1:8" ht="24" customHeight="1" x14ac:dyDescent="0.2">
      <c r="A128" s="84" t="s">
        <v>634</v>
      </c>
      <c r="B128" s="94" t="s">
        <v>273</v>
      </c>
      <c r="C128" s="94" t="s">
        <v>16</v>
      </c>
      <c r="D128" s="101" t="s">
        <v>268</v>
      </c>
      <c r="E128" s="94" t="s">
        <v>25</v>
      </c>
      <c r="F128" s="113">
        <v>8.3000000000000004E-2</v>
      </c>
      <c r="G128" s="115">
        <v>16.3</v>
      </c>
      <c r="H128" s="114">
        <f t="shared" ref="H128:H129" si="10">TRUNC(F128*G128,2)</f>
        <v>1.35</v>
      </c>
    </row>
    <row r="129" spans="1:11" ht="34.5" customHeight="1" x14ac:dyDescent="0.2">
      <c r="A129" s="84" t="s">
        <v>635</v>
      </c>
      <c r="B129" s="94" t="s">
        <v>376</v>
      </c>
      <c r="C129" s="94" t="s">
        <v>16</v>
      </c>
      <c r="D129" s="101" t="s">
        <v>377</v>
      </c>
      <c r="E129" s="94" t="s">
        <v>248</v>
      </c>
      <c r="F129" s="113">
        <v>2E-3</v>
      </c>
      <c r="G129" s="115">
        <v>423.79</v>
      </c>
      <c r="H129" s="114">
        <f t="shared" si="10"/>
        <v>0.84</v>
      </c>
    </row>
    <row r="130" spans="1:11" ht="24" customHeight="1" x14ac:dyDescent="0.2">
      <c r="A130" s="84" t="s">
        <v>636</v>
      </c>
      <c r="B130" s="94"/>
      <c r="C130" s="94"/>
      <c r="D130" s="101"/>
      <c r="E130" s="94"/>
      <c r="F130" s="113"/>
      <c r="G130" s="95"/>
      <c r="H130" s="114"/>
    </row>
    <row r="131" spans="1:11" ht="64.5" customHeight="1" x14ac:dyDescent="0.2">
      <c r="A131" s="84" t="s">
        <v>637</v>
      </c>
      <c r="B131" s="98" t="s">
        <v>238</v>
      </c>
      <c r="C131" s="98" t="s">
        <v>494</v>
      </c>
      <c r="D131" s="99" t="s">
        <v>495</v>
      </c>
      <c r="E131" s="98"/>
      <c r="F131" s="122" t="s">
        <v>248</v>
      </c>
      <c r="G131" s="100"/>
      <c r="H131" s="123">
        <f>SUM(H132:H143)</f>
        <v>2625.4900000000002</v>
      </c>
    </row>
    <row r="132" spans="1:11" ht="60" customHeight="1" x14ac:dyDescent="0.2">
      <c r="A132" s="84" t="s">
        <v>638</v>
      </c>
      <c r="B132" s="94" t="s">
        <v>335</v>
      </c>
      <c r="C132" s="94" t="s">
        <v>16</v>
      </c>
      <c r="D132" s="101" t="s">
        <v>336</v>
      </c>
      <c r="E132" s="94" t="s">
        <v>337</v>
      </c>
      <c r="F132" s="113">
        <v>0.1</v>
      </c>
      <c r="G132" s="115">
        <v>268.37</v>
      </c>
      <c r="H132" s="114">
        <f>TRUNC(F132*G132,2)</f>
        <v>26.83</v>
      </c>
    </row>
    <row r="133" spans="1:11" ht="24" customHeight="1" x14ac:dyDescent="0.2">
      <c r="A133" s="84" t="s">
        <v>639</v>
      </c>
      <c r="B133" s="94" t="s">
        <v>273</v>
      </c>
      <c r="C133" s="94" t="s">
        <v>16</v>
      </c>
      <c r="D133" s="101" t="s">
        <v>268</v>
      </c>
      <c r="E133" s="94" t="s">
        <v>25</v>
      </c>
      <c r="F133" s="113">
        <v>1.6682999999999999</v>
      </c>
      <c r="G133" s="115">
        <v>16.3</v>
      </c>
      <c r="H133" s="114">
        <f t="shared" ref="H133:H143" si="11">TRUNC(F133*G133,2)</f>
        <v>27.19</v>
      </c>
    </row>
    <row r="134" spans="1:11" ht="30.75" customHeight="1" x14ac:dyDescent="0.2">
      <c r="A134" s="84" t="s">
        <v>640</v>
      </c>
      <c r="B134" s="94" t="s">
        <v>43</v>
      </c>
      <c r="C134" s="94" t="s">
        <v>16</v>
      </c>
      <c r="D134" s="101" t="s">
        <v>44</v>
      </c>
      <c r="E134" s="94" t="s">
        <v>40</v>
      </c>
      <c r="F134" s="113">
        <v>1.9067000000000001</v>
      </c>
      <c r="G134" s="115">
        <v>64.48</v>
      </c>
      <c r="H134" s="114">
        <f t="shared" si="11"/>
        <v>122.94</v>
      </c>
      <c r="J134" s="89"/>
      <c r="K134" s="89"/>
    </row>
    <row r="135" spans="1:11" ht="36" customHeight="1" x14ac:dyDescent="0.2">
      <c r="A135" s="84" t="s">
        <v>641</v>
      </c>
      <c r="B135" s="94" t="s">
        <v>340</v>
      </c>
      <c r="C135" s="94" t="s">
        <v>16</v>
      </c>
      <c r="D135" s="101" t="s">
        <v>341</v>
      </c>
      <c r="E135" s="94" t="s">
        <v>47</v>
      </c>
      <c r="F135" s="113">
        <v>2.6533000000000002</v>
      </c>
      <c r="G135" s="115">
        <v>2.5499999999999998</v>
      </c>
      <c r="H135" s="114">
        <f t="shared" si="11"/>
        <v>6.76</v>
      </c>
      <c r="J135" s="89"/>
      <c r="K135" s="89"/>
    </row>
    <row r="136" spans="1:11" ht="59.25" customHeight="1" x14ac:dyDescent="0.2">
      <c r="A136" s="84" t="s">
        <v>642</v>
      </c>
      <c r="B136" s="94" t="s">
        <v>368</v>
      </c>
      <c r="C136" s="94" t="s">
        <v>16</v>
      </c>
      <c r="D136" s="101" t="s">
        <v>369</v>
      </c>
      <c r="E136" s="94" t="s">
        <v>47</v>
      </c>
      <c r="F136" s="113">
        <v>6.0667</v>
      </c>
      <c r="G136" s="115">
        <v>51.63</v>
      </c>
      <c r="H136" s="114">
        <f t="shared" si="11"/>
        <v>313.22000000000003</v>
      </c>
      <c r="J136" s="89"/>
      <c r="K136" s="89"/>
    </row>
    <row r="137" spans="1:11" ht="42.75" customHeight="1" x14ac:dyDescent="0.2">
      <c r="A137" s="84" t="s">
        <v>643</v>
      </c>
      <c r="B137" s="94" t="s">
        <v>370</v>
      </c>
      <c r="C137" s="94" t="s">
        <v>16</v>
      </c>
      <c r="D137" s="101" t="s">
        <v>371</v>
      </c>
      <c r="E137" s="94" t="s">
        <v>278</v>
      </c>
      <c r="F137" s="113">
        <v>2.82</v>
      </c>
      <c r="G137" s="115">
        <v>17.21</v>
      </c>
      <c r="H137" s="114">
        <f t="shared" si="11"/>
        <v>48.53</v>
      </c>
      <c r="J137" s="89"/>
      <c r="K137" s="89"/>
    </row>
    <row r="138" spans="1:11" ht="42.75" customHeight="1" x14ac:dyDescent="0.2">
      <c r="A138" s="84" t="s">
        <v>644</v>
      </c>
      <c r="B138" s="94" t="s">
        <v>372</v>
      </c>
      <c r="C138" s="94" t="s">
        <v>16</v>
      </c>
      <c r="D138" s="101" t="s">
        <v>373</v>
      </c>
      <c r="E138" s="94" t="s">
        <v>278</v>
      </c>
      <c r="F138" s="113">
        <v>8.4533000000000005</v>
      </c>
      <c r="G138" s="115">
        <v>15.97</v>
      </c>
      <c r="H138" s="114">
        <f t="shared" si="11"/>
        <v>134.99</v>
      </c>
      <c r="J138" s="89"/>
      <c r="K138" s="89"/>
    </row>
    <row r="139" spans="1:11" ht="42.75" customHeight="1" x14ac:dyDescent="0.2">
      <c r="A139" s="84" t="s">
        <v>645</v>
      </c>
      <c r="B139" s="94" t="s">
        <v>346</v>
      </c>
      <c r="C139" s="94" t="s">
        <v>16</v>
      </c>
      <c r="D139" s="101" t="s">
        <v>347</v>
      </c>
      <c r="E139" s="94" t="s">
        <v>40</v>
      </c>
      <c r="F139" s="113">
        <v>1.21</v>
      </c>
      <c r="G139" s="115">
        <v>424.89</v>
      </c>
      <c r="H139" s="114">
        <f t="shared" si="11"/>
        <v>514.11</v>
      </c>
      <c r="J139" s="89"/>
      <c r="K139" s="89"/>
    </row>
    <row r="140" spans="1:11" ht="34.5" customHeight="1" x14ac:dyDescent="0.2">
      <c r="A140" s="84" t="s">
        <v>646</v>
      </c>
      <c r="B140" s="94">
        <v>103670</v>
      </c>
      <c r="C140" s="94" t="s">
        <v>16</v>
      </c>
      <c r="D140" s="101" t="s">
        <v>115</v>
      </c>
      <c r="E140" s="94" t="s">
        <v>40</v>
      </c>
      <c r="F140" s="113">
        <v>1.21</v>
      </c>
      <c r="G140" s="115">
        <v>219.96</v>
      </c>
      <c r="H140" s="114">
        <f t="shared" si="11"/>
        <v>266.14999999999998</v>
      </c>
      <c r="J140" s="89"/>
      <c r="K140" s="89"/>
    </row>
    <row r="141" spans="1:11" ht="34.5" customHeight="1" x14ac:dyDescent="0.2">
      <c r="A141" s="84" t="s">
        <v>647</v>
      </c>
      <c r="B141" s="92" t="s">
        <v>252</v>
      </c>
      <c r="C141" s="92" t="s">
        <v>251</v>
      </c>
      <c r="D141" s="102" t="s">
        <v>449</v>
      </c>
      <c r="E141" s="93" t="s">
        <v>144</v>
      </c>
      <c r="F141" s="116">
        <v>2</v>
      </c>
      <c r="G141" s="96">
        <v>566.88</v>
      </c>
      <c r="H141" s="114">
        <f t="shared" si="11"/>
        <v>1133.76</v>
      </c>
      <c r="J141" s="89"/>
      <c r="K141" s="89"/>
    </row>
    <row r="142" spans="1:11" ht="34.5" customHeight="1" x14ac:dyDescent="0.2">
      <c r="A142" s="84" t="s">
        <v>648</v>
      </c>
      <c r="B142" s="92" t="s">
        <v>161</v>
      </c>
      <c r="C142" s="92" t="s">
        <v>238</v>
      </c>
      <c r="D142" s="105" t="str">
        <f>D126</f>
        <v>RECORTE MECÂNICO DE PAVIMENTO ASFÁLTICO OU PISO DE CONCRETO, COM SERRA DE DISCO DIAMANTADO PARA PISO/ASFALTO</v>
      </c>
      <c r="E142" s="93" t="s">
        <v>146</v>
      </c>
      <c r="F142" s="116">
        <v>3.8067000000000002</v>
      </c>
      <c r="G142" s="96">
        <f>H126</f>
        <v>3.19</v>
      </c>
      <c r="H142" s="114">
        <f t="shared" si="11"/>
        <v>12.14</v>
      </c>
      <c r="J142" s="89"/>
      <c r="K142" s="89"/>
    </row>
    <row r="143" spans="1:11" ht="36" customHeight="1" x14ac:dyDescent="0.2">
      <c r="A143" s="84" t="s">
        <v>649</v>
      </c>
      <c r="B143" s="94" t="s">
        <v>330</v>
      </c>
      <c r="C143" s="94" t="s">
        <v>16</v>
      </c>
      <c r="D143" s="101" t="s">
        <v>331</v>
      </c>
      <c r="E143" s="94" t="s">
        <v>145</v>
      </c>
      <c r="F143" s="113">
        <v>7.15</v>
      </c>
      <c r="G143" s="115">
        <v>2.64</v>
      </c>
      <c r="H143" s="114">
        <f t="shared" si="11"/>
        <v>18.87</v>
      </c>
      <c r="J143" s="89"/>
      <c r="K143" s="89"/>
    </row>
    <row r="144" spans="1:11" ht="21.75" customHeight="1" x14ac:dyDescent="0.2">
      <c r="A144" s="84" t="s">
        <v>650</v>
      </c>
      <c r="B144" s="94"/>
      <c r="C144" s="94"/>
      <c r="D144" s="101"/>
      <c r="E144" s="94"/>
      <c r="F144" s="113"/>
      <c r="G144" s="95"/>
      <c r="H144" s="114"/>
    </row>
    <row r="145" spans="1:8" ht="50.25" customHeight="1" x14ac:dyDescent="0.2">
      <c r="A145" s="84" t="s">
        <v>651</v>
      </c>
      <c r="B145" s="98" t="s">
        <v>238</v>
      </c>
      <c r="C145" s="98" t="s">
        <v>181</v>
      </c>
      <c r="D145" s="99" t="s">
        <v>182</v>
      </c>
      <c r="E145" s="98"/>
      <c r="F145" s="122" t="s">
        <v>75</v>
      </c>
      <c r="G145" s="100"/>
      <c r="H145" s="123">
        <f>SUM(H146:H147)</f>
        <v>28.48</v>
      </c>
    </row>
    <row r="146" spans="1:8" ht="60" customHeight="1" x14ac:dyDescent="0.2">
      <c r="A146" s="84" t="s">
        <v>652</v>
      </c>
      <c r="B146" s="94" t="s">
        <v>378</v>
      </c>
      <c r="C146" s="94" t="s">
        <v>16</v>
      </c>
      <c r="D146" s="101" t="s">
        <v>379</v>
      </c>
      <c r="E146" s="94" t="s">
        <v>337</v>
      </c>
      <c r="F146" s="113">
        <v>0.1071811</v>
      </c>
      <c r="G146" s="115">
        <v>200.64</v>
      </c>
      <c r="H146" s="114">
        <f>TRUNC(F146*G146,2)</f>
        <v>21.5</v>
      </c>
    </row>
    <row r="147" spans="1:8" ht="24" customHeight="1" x14ac:dyDescent="0.2">
      <c r="A147" s="84" t="s">
        <v>653</v>
      </c>
      <c r="B147" s="94" t="s">
        <v>273</v>
      </c>
      <c r="C147" s="94" t="s">
        <v>16</v>
      </c>
      <c r="D147" s="101" t="s">
        <v>268</v>
      </c>
      <c r="E147" s="94" t="s">
        <v>25</v>
      </c>
      <c r="F147" s="113">
        <v>0.42872450000000001</v>
      </c>
      <c r="G147" s="115">
        <v>16.3</v>
      </c>
      <c r="H147" s="114">
        <f>TRUNC(F147*G147,2)</f>
        <v>6.98</v>
      </c>
    </row>
    <row r="148" spans="1:8" ht="19.5" customHeight="1" x14ac:dyDescent="0.2">
      <c r="A148" s="84" t="s">
        <v>654</v>
      </c>
      <c r="B148" s="94"/>
      <c r="C148" s="94"/>
      <c r="D148" s="101"/>
      <c r="E148" s="94"/>
      <c r="F148" s="113"/>
      <c r="G148" s="95"/>
      <c r="H148" s="114"/>
    </row>
    <row r="149" spans="1:8" ht="34.5" customHeight="1" x14ac:dyDescent="0.2">
      <c r="A149" s="84" t="s">
        <v>655</v>
      </c>
      <c r="B149" s="98" t="s">
        <v>238</v>
      </c>
      <c r="C149" s="98" t="s">
        <v>169</v>
      </c>
      <c r="D149" s="99" t="s">
        <v>170</v>
      </c>
      <c r="E149" s="98"/>
      <c r="F149" s="122" t="s">
        <v>250</v>
      </c>
      <c r="G149" s="100"/>
      <c r="H149" s="123">
        <f>SUM(H150:H154)</f>
        <v>5.6</v>
      </c>
    </row>
    <row r="150" spans="1:8" ht="44.25" customHeight="1" x14ac:dyDescent="0.2">
      <c r="A150" s="84" t="s">
        <v>656</v>
      </c>
      <c r="B150" s="94" t="s">
        <v>380</v>
      </c>
      <c r="C150" s="94" t="s">
        <v>16</v>
      </c>
      <c r="D150" s="101" t="s">
        <v>381</v>
      </c>
      <c r="E150" s="94" t="s">
        <v>337</v>
      </c>
      <c r="F150" s="113">
        <v>4.7619000000000003E-3</v>
      </c>
      <c r="G150" s="115">
        <v>183.47</v>
      </c>
      <c r="H150" s="114">
        <f>TRUNC(F150*G150,2)</f>
        <v>0.87</v>
      </c>
    </row>
    <row r="151" spans="1:8" ht="44.25" customHeight="1" x14ac:dyDescent="0.2">
      <c r="A151" s="84" t="s">
        <v>657</v>
      </c>
      <c r="B151" s="94" t="s">
        <v>382</v>
      </c>
      <c r="C151" s="94" t="s">
        <v>16</v>
      </c>
      <c r="D151" s="101" t="s">
        <v>383</v>
      </c>
      <c r="E151" s="94" t="s">
        <v>317</v>
      </c>
      <c r="F151" s="113">
        <v>2.6189999999999998E-3</v>
      </c>
      <c r="G151" s="115">
        <v>64.56</v>
      </c>
      <c r="H151" s="114">
        <f t="shared" ref="H151:H154" si="12">TRUNC(F151*G151,2)</f>
        <v>0.16</v>
      </c>
    </row>
    <row r="152" spans="1:8" ht="44.25" customHeight="1" x14ac:dyDescent="0.2">
      <c r="A152" s="84" t="s">
        <v>658</v>
      </c>
      <c r="B152" s="94" t="s">
        <v>384</v>
      </c>
      <c r="C152" s="94" t="s">
        <v>16</v>
      </c>
      <c r="D152" s="101" t="s">
        <v>385</v>
      </c>
      <c r="E152" s="94" t="s">
        <v>337</v>
      </c>
      <c r="F152" s="113">
        <v>1.02381E-2</v>
      </c>
      <c r="G152" s="115">
        <v>254.44</v>
      </c>
      <c r="H152" s="114">
        <f t="shared" si="12"/>
        <v>2.6</v>
      </c>
    </row>
    <row r="153" spans="1:8" ht="44.25" customHeight="1" x14ac:dyDescent="0.2">
      <c r="A153" s="84" t="s">
        <v>659</v>
      </c>
      <c r="B153" s="94" t="s">
        <v>386</v>
      </c>
      <c r="C153" s="94" t="s">
        <v>16</v>
      </c>
      <c r="D153" s="101" t="s">
        <v>387</v>
      </c>
      <c r="E153" s="94" t="s">
        <v>317</v>
      </c>
      <c r="F153" s="113">
        <v>1.3571400000000001E-2</v>
      </c>
      <c r="G153" s="115">
        <v>89.13</v>
      </c>
      <c r="H153" s="114">
        <f t="shared" si="12"/>
        <v>1.2</v>
      </c>
    </row>
    <row r="154" spans="1:8" ht="24" customHeight="1" x14ac:dyDescent="0.2">
      <c r="A154" s="84" t="s">
        <v>660</v>
      </c>
      <c r="B154" s="94" t="s">
        <v>273</v>
      </c>
      <c r="C154" s="94" t="s">
        <v>16</v>
      </c>
      <c r="D154" s="101" t="s">
        <v>268</v>
      </c>
      <c r="E154" s="94" t="s">
        <v>25</v>
      </c>
      <c r="F154" s="113">
        <v>4.7619000000000002E-2</v>
      </c>
      <c r="G154" s="115">
        <v>16.3</v>
      </c>
      <c r="H154" s="114">
        <f t="shared" si="12"/>
        <v>0.77</v>
      </c>
    </row>
    <row r="155" spans="1:8" ht="24" customHeight="1" x14ac:dyDescent="0.2">
      <c r="A155" s="84" t="s">
        <v>661</v>
      </c>
      <c r="B155" s="94"/>
      <c r="C155" s="94"/>
      <c r="D155" s="101"/>
      <c r="E155" s="94"/>
      <c r="F155" s="113"/>
      <c r="G155" s="95"/>
      <c r="H155" s="114"/>
    </row>
    <row r="156" spans="1:8" ht="68.25" customHeight="1" x14ac:dyDescent="0.2">
      <c r="A156" s="84" t="s">
        <v>662</v>
      </c>
      <c r="B156" s="98" t="s">
        <v>238</v>
      </c>
      <c r="C156" s="98" t="s">
        <v>171</v>
      </c>
      <c r="D156" s="99" t="s">
        <v>172</v>
      </c>
      <c r="E156" s="98"/>
      <c r="F156" s="122" t="s">
        <v>250</v>
      </c>
      <c r="G156" s="100"/>
      <c r="H156" s="123">
        <f>SUM(H157:H167)</f>
        <v>18.049999999999997</v>
      </c>
    </row>
    <row r="157" spans="1:8" ht="48" customHeight="1" x14ac:dyDescent="0.2">
      <c r="A157" s="84" t="s">
        <v>663</v>
      </c>
      <c r="B157" s="94" t="s">
        <v>388</v>
      </c>
      <c r="C157" s="94" t="s">
        <v>16</v>
      </c>
      <c r="D157" s="101" t="s">
        <v>389</v>
      </c>
      <c r="E157" s="94" t="s">
        <v>337</v>
      </c>
      <c r="F157" s="113">
        <v>1.21739E-2</v>
      </c>
      <c r="G157" s="115">
        <v>205.56</v>
      </c>
      <c r="H157" s="114">
        <f>TRUNC(F157*G157,2)</f>
        <v>2.5</v>
      </c>
    </row>
    <row r="158" spans="1:8" ht="48" customHeight="1" x14ac:dyDescent="0.2">
      <c r="A158" s="84" t="s">
        <v>664</v>
      </c>
      <c r="B158" s="94" t="s">
        <v>390</v>
      </c>
      <c r="C158" s="94" t="s">
        <v>16</v>
      </c>
      <c r="D158" s="101" t="s">
        <v>391</v>
      </c>
      <c r="E158" s="94" t="s">
        <v>317</v>
      </c>
      <c r="F158" s="113">
        <v>2.2608699999999999E-2</v>
      </c>
      <c r="G158" s="115">
        <v>58.16</v>
      </c>
      <c r="H158" s="114">
        <f t="shared" ref="H158:H167" si="13">TRUNC(F158*G158,2)</f>
        <v>1.31</v>
      </c>
    </row>
    <row r="159" spans="1:8" ht="60" customHeight="1" x14ac:dyDescent="0.2">
      <c r="A159" s="84" t="s">
        <v>665</v>
      </c>
      <c r="B159" s="94" t="s">
        <v>392</v>
      </c>
      <c r="C159" s="94" t="s">
        <v>16</v>
      </c>
      <c r="D159" s="101" t="s">
        <v>393</v>
      </c>
      <c r="E159" s="94" t="s">
        <v>337</v>
      </c>
      <c r="F159" s="113">
        <v>4.1739000000000004E-3</v>
      </c>
      <c r="G159" s="115">
        <v>313.62</v>
      </c>
      <c r="H159" s="114">
        <f t="shared" si="13"/>
        <v>1.3</v>
      </c>
    </row>
    <row r="160" spans="1:8" ht="60" customHeight="1" x14ac:dyDescent="0.2">
      <c r="A160" s="84" t="s">
        <v>666</v>
      </c>
      <c r="B160" s="94" t="s">
        <v>394</v>
      </c>
      <c r="C160" s="94" t="s">
        <v>16</v>
      </c>
      <c r="D160" s="101" t="s">
        <v>395</v>
      </c>
      <c r="E160" s="94" t="s">
        <v>317</v>
      </c>
      <c r="F160" s="113">
        <v>3.0608699999999999E-2</v>
      </c>
      <c r="G160" s="115">
        <v>53.85</v>
      </c>
      <c r="H160" s="114">
        <f t="shared" si="13"/>
        <v>1.64</v>
      </c>
    </row>
    <row r="161" spans="1:8" ht="36" customHeight="1" x14ac:dyDescent="0.2">
      <c r="A161" s="84" t="s">
        <v>667</v>
      </c>
      <c r="B161" s="94" t="s">
        <v>396</v>
      </c>
      <c r="C161" s="94" t="s">
        <v>16</v>
      </c>
      <c r="D161" s="101" t="s">
        <v>397</v>
      </c>
      <c r="E161" s="94" t="s">
        <v>337</v>
      </c>
      <c r="F161" s="113">
        <v>1.11304E-2</v>
      </c>
      <c r="G161" s="115">
        <v>138.54</v>
      </c>
      <c r="H161" s="114">
        <f t="shared" si="13"/>
        <v>1.54</v>
      </c>
    </row>
    <row r="162" spans="1:8" ht="36" customHeight="1" x14ac:dyDescent="0.2">
      <c r="A162" s="84" t="s">
        <v>668</v>
      </c>
      <c r="B162" s="94" t="s">
        <v>398</v>
      </c>
      <c r="C162" s="94" t="s">
        <v>16</v>
      </c>
      <c r="D162" s="101" t="s">
        <v>399</v>
      </c>
      <c r="E162" s="94" t="s">
        <v>317</v>
      </c>
      <c r="F162" s="113">
        <v>2.3652200000000002E-2</v>
      </c>
      <c r="G162" s="115">
        <v>42.63</v>
      </c>
      <c r="H162" s="114">
        <f t="shared" si="13"/>
        <v>1</v>
      </c>
    </row>
    <row r="163" spans="1:8" ht="43.5" customHeight="1" x14ac:dyDescent="0.2">
      <c r="A163" s="84" t="s">
        <v>669</v>
      </c>
      <c r="B163" s="94" t="s">
        <v>384</v>
      </c>
      <c r="C163" s="94" t="s">
        <v>16</v>
      </c>
      <c r="D163" s="101" t="s">
        <v>385</v>
      </c>
      <c r="E163" s="94" t="s">
        <v>337</v>
      </c>
      <c r="F163" s="113">
        <v>1.1826100000000001E-2</v>
      </c>
      <c r="G163" s="115">
        <v>254.44</v>
      </c>
      <c r="H163" s="114">
        <f t="shared" si="13"/>
        <v>3</v>
      </c>
    </row>
    <row r="164" spans="1:8" ht="43.5" customHeight="1" x14ac:dyDescent="0.2">
      <c r="A164" s="84" t="s">
        <v>670</v>
      </c>
      <c r="B164" s="94" t="s">
        <v>386</v>
      </c>
      <c r="C164" s="94" t="s">
        <v>16</v>
      </c>
      <c r="D164" s="101" t="s">
        <v>387</v>
      </c>
      <c r="E164" s="94" t="s">
        <v>317</v>
      </c>
      <c r="F164" s="113">
        <v>2.2956500000000001E-2</v>
      </c>
      <c r="G164" s="115">
        <v>83.13</v>
      </c>
      <c r="H164" s="114">
        <f t="shared" si="13"/>
        <v>1.9</v>
      </c>
    </row>
    <row r="165" spans="1:8" ht="48" customHeight="1" x14ac:dyDescent="0.2">
      <c r="A165" s="84" t="s">
        <v>671</v>
      </c>
      <c r="B165" s="94" t="s">
        <v>400</v>
      </c>
      <c r="C165" s="94" t="s">
        <v>16</v>
      </c>
      <c r="D165" s="101" t="s">
        <v>401</v>
      </c>
      <c r="E165" s="94" t="s">
        <v>337</v>
      </c>
      <c r="F165" s="113">
        <v>3.8260999999999998E-3</v>
      </c>
      <c r="G165" s="115">
        <v>219.12</v>
      </c>
      <c r="H165" s="114">
        <f t="shared" si="13"/>
        <v>0.83</v>
      </c>
    </row>
    <row r="166" spans="1:8" ht="41.25" customHeight="1" x14ac:dyDescent="0.2">
      <c r="A166" s="84" t="s">
        <v>672</v>
      </c>
      <c r="B166" s="94" t="s">
        <v>402</v>
      </c>
      <c r="C166" s="94" t="s">
        <v>16</v>
      </c>
      <c r="D166" s="101" t="s">
        <v>403</v>
      </c>
      <c r="E166" s="94" t="s">
        <v>317</v>
      </c>
      <c r="F166" s="113">
        <v>3.0956500000000001E-2</v>
      </c>
      <c r="G166" s="115">
        <v>80.099999999999994</v>
      </c>
      <c r="H166" s="114">
        <f t="shared" si="13"/>
        <v>2.4700000000000002</v>
      </c>
    </row>
    <row r="167" spans="1:8" ht="24" customHeight="1" x14ac:dyDescent="0.2">
      <c r="A167" s="84" t="s">
        <v>673</v>
      </c>
      <c r="B167" s="94" t="s">
        <v>273</v>
      </c>
      <c r="C167" s="94" t="s">
        <v>16</v>
      </c>
      <c r="D167" s="101" t="s">
        <v>268</v>
      </c>
      <c r="E167" s="94" t="s">
        <v>25</v>
      </c>
      <c r="F167" s="113">
        <v>3.4782599999999997E-2</v>
      </c>
      <c r="G167" s="115">
        <v>16.3</v>
      </c>
      <c r="H167" s="114">
        <f t="shared" si="13"/>
        <v>0.56000000000000005</v>
      </c>
    </row>
    <row r="168" spans="1:8" ht="24" hidden="1" customHeight="1" x14ac:dyDescent="0.2">
      <c r="A168" s="84" t="s">
        <v>674</v>
      </c>
      <c r="B168" s="94"/>
      <c r="C168" s="94"/>
      <c r="D168" s="101"/>
      <c r="E168" s="94"/>
      <c r="F168" s="113"/>
      <c r="G168" s="95"/>
      <c r="H168" s="114"/>
    </row>
    <row r="169" spans="1:8" ht="32.25" hidden="1" customHeight="1" x14ac:dyDescent="0.2">
      <c r="A169" s="84" t="s">
        <v>675</v>
      </c>
      <c r="B169" s="98" t="s">
        <v>238</v>
      </c>
      <c r="C169" s="98" t="s">
        <v>253</v>
      </c>
      <c r="D169" s="99" t="s">
        <v>265</v>
      </c>
      <c r="E169" s="98"/>
      <c r="F169" s="122" t="s">
        <v>244</v>
      </c>
      <c r="G169" s="100"/>
      <c r="H169" s="123">
        <f>SUM(H170:H177)</f>
        <v>1.92</v>
      </c>
    </row>
    <row r="170" spans="1:8" ht="36" hidden="1" customHeight="1" x14ac:dyDescent="0.2">
      <c r="A170" s="84" t="s">
        <v>676</v>
      </c>
      <c r="B170" s="94" t="s">
        <v>404</v>
      </c>
      <c r="C170" s="94" t="s">
        <v>16</v>
      </c>
      <c r="D170" s="101" t="s">
        <v>405</v>
      </c>
      <c r="E170" s="94" t="s">
        <v>337</v>
      </c>
      <c r="F170" s="113">
        <v>2E-3</v>
      </c>
      <c r="G170" s="95">
        <v>7.87</v>
      </c>
      <c r="H170" s="114">
        <f>TRUNC(F170*G170,2)</f>
        <v>0.01</v>
      </c>
    </row>
    <row r="171" spans="1:8" ht="36" hidden="1" customHeight="1" x14ac:dyDescent="0.2">
      <c r="A171" s="84" t="s">
        <v>677</v>
      </c>
      <c r="B171" s="94" t="s">
        <v>406</v>
      </c>
      <c r="C171" s="94" t="s">
        <v>16</v>
      </c>
      <c r="D171" s="101" t="s">
        <v>407</v>
      </c>
      <c r="E171" s="94" t="s">
        <v>317</v>
      </c>
      <c r="F171" s="113">
        <v>4.0000000000000001E-3</v>
      </c>
      <c r="G171" s="95">
        <v>3.74</v>
      </c>
      <c r="H171" s="114">
        <f t="shared" ref="H171:H177" si="14">TRUNC(F171*G171,2)</f>
        <v>0.01</v>
      </c>
    </row>
    <row r="172" spans="1:8" ht="60" hidden="1" customHeight="1" x14ac:dyDescent="0.2">
      <c r="A172" s="84" t="s">
        <v>678</v>
      </c>
      <c r="B172" s="94" t="s">
        <v>408</v>
      </c>
      <c r="C172" s="94" t="s">
        <v>16</v>
      </c>
      <c r="D172" s="101" t="s">
        <v>409</v>
      </c>
      <c r="E172" s="94" t="s">
        <v>337</v>
      </c>
      <c r="F172" s="113">
        <v>4.0000000000000002E-4</v>
      </c>
      <c r="G172" s="95">
        <v>212.77</v>
      </c>
      <c r="H172" s="114">
        <f t="shared" si="14"/>
        <v>0.08</v>
      </c>
    </row>
    <row r="173" spans="1:8" ht="60" hidden="1" customHeight="1" x14ac:dyDescent="0.2">
      <c r="A173" s="84" t="s">
        <v>679</v>
      </c>
      <c r="B173" s="94" t="s">
        <v>410</v>
      </c>
      <c r="C173" s="94" t="s">
        <v>16</v>
      </c>
      <c r="D173" s="101" t="s">
        <v>411</v>
      </c>
      <c r="E173" s="94" t="s">
        <v>317</v>
      </c>
      <c r="F173" s="113">
        <v>5.1000000000000004E-3</v>
      </c>
      <c r="G173" s="95">
        <v>38.83</v>
      </c>
      <c r="H173" s="114">
        <f t="shared" si="14"/>
        <v>0.19</v>
      </c>
    </row>
    <row r="174" spans="1:8" ht="33.75" hidden="1" customHeight="1" x14ac:dyDescent="0.2">
      <c r="A174" s="84" t="s">
        <v>680</v>
      </c>
      <c r="B174" s="94" t="s">
        <v>412</v>
      </c>
      <c r="C174" s="94" t="s">
        <v>16</v>
      </c>
      <c r="D174" s="101" t="s">
        <v>413</v>
      </c>
      <c r="E174" s="94" t="s">
        <v>337</v>
      </c>
      <c r="F174" s="113">
        <v>1.6999999999999999E-3</v>
      </c>
      <c r="G174" s="95">
        <v>130.88</v>
      </c>
      <c r="H174" s="114">
        <f t="shared" si="14"/>
        <v>0.22</v>
      </c>
    </row>
    <row r="175" spans="1:8" ht="34.5" hidden="1" customHeight="1" x14ac:dyDescent="0.2">
      <c r="A175" s="84" t="s">
        <v>681</v>
      </c>
      <c r="B175" s="94" t="s">
        <v>414</v>
      </c>
      <c r="C175" s="94" t="s">
        <v>16</v>
      </c>
      <c r="D175" s="101" t="s">
        <v>415</v>
      </c>
      <c r="E175" s="94" t="s">
        <v>317</v>
      </c>
      <c r="F175" s="113">
        <v>3.8E-3</v>
      </c>
      <c r="G175" s="95">
        <v>30.04</v>
      </c>
      <c r="H175" s="114">
        <f t="shared" si="14"/>
        <v>0.11</v>
      </c>
    </row>
    <row r="176" spans="1:8" ht="24" hidden="1" customHeight="1" x14ac:dyDescent="0.2">
      <c r="A176" s="84" t="s">
        <v>682</v>
      </c>
      <c r="B176" s="94" t="s">
        <v>273</v>
      </c>
      <c r="C176" s="94" t="s">
        <v>16</v>
      </c>
      <c r="D176" s="101" t="s">
        <v>268</v>
      </c>
      <c r="E176" s="94" t="s">
        <v>25</v>
      </c>
      <c r="F176" s="113">
        <v>5.4999999999999997E-3</v>
      </c>
      <c r="G176" s="95">
        <v>14.74</v>
      </c>
      <c r="H176" s="114">
        <f t="shared" si="14"/>
        <v>0.08</v>
      </c>
    </row>
    <row r="177" spans="1:8" ht="29.25" hidden="1" customHeight="1" x14ac:dyDescent="0.2">
      <c r="A177" s="84" t="s">
        <v>683</v>
      </c>
      <c r="B177" s="94" t="s">
        <v>254</v>
      </c>
      <c r="C177" s="94" t="s">
        <v>251</v>
      </c>
      <c r="D177" s="101" t="s">
        <v>450</v>
      </c>
      <c r="E177" s="94" t="s">
        <v>75</v>
      </c>
      <c r="F177" s="113">
        <v>4.4999999999999999E-4</v>
      </c>
      <c r="G177" s="95">
        <v>2724.98</v>
      </c>
      <c r="H177" s="114">
        <f t="shared" si="14"/>
        <v>1.22</v>
      </c>
    </row>
    <row r="178" spans="1:8" ht="24" customHeight="1" x14ac:dyDescent="0.2">
      <c r="A178" s="84" t="s">
        <v>684</v>
      </c>
      <c r="B178" s="94"/>
      <c r="C178" s="94"/>
      <c r="D178" s="101"/>
      <c r="E178" s="94"/>
      <c r="F178" s="113"/>
      <c r="G178" s="95"/>
      <c r="H178" s="114"/>
    </row>
    <row r="179" spans="1:8" ht="46.5" customHeight="1" x14ac:dyDescent="0.2">
      <c r="A179" s="84" t="s">
        <v>685</v>
      </c>
      <c r="B179" s="98" t="s">
        <v>238</v>
      </c>
      <c r="C179" s="98" t="s">
        <v>175</v>
      </c>
      <c r="D179" s="99" t="s">
        <v>176</v>
      </c>
      <c r="E179" s="98"/>
      <c r="F179" s="122" t="s">
        <v>246</v>
      </c>
      <c r="G179" s="100"/>
      <c r="H179" s="123">
        <f>SUM(H180:H186)</f>
        <v>46.389999999999993</v>
      </c>
    </row>
    <row r="180" spans="1:8" ht="24" customHeight="1" x14ac:dyDescent="0.2">
      <c r="A180" s="84" t="s">
        <v>686</v>
      </c>
      <c r="B180" s="94" t="s">
        <v>273</v>
      </c>
      <c r="C180" s="94" t="s">
        <v>16</v>
      </c>
      <c r="D180" s="101" t="s">
        <v>268</v>
      </c>
      <c r="E180" s="94" t="s">
        <v>25</v>
      </c>
      <c r="F180" s="113">
        <v>4.0425000000000003E-2</v>
      </c>
      <c r="G180" s="115">
        <v>16.3</v>
      </c>
      <c r="H180" s="114">
        <f>TRUNC(F180*G180,2)</f>
        <v>0.65</v>
      </c>
    </row>
    <row r="181" spans="1:8" ht="42.75" customHeight="1" x14ac:dyDescent="0.2">
      <c r="A181" s="84" t="s">
        <v>687</v>
      </c>
      <c r="B181" s="94" t="s">
        <v>416</v>
      </c>
      <c r="C181" s="94" t="s">
        <v>16</v>
      </c>
      <c r="D181" s="101" t="s">
        <v>417</v>
      </c>
      <c r="E181" s="94" t="s">
        <v>40</v>
      </c>
      <c r="F181" s="113">
        <v>6.1499999999999999E-2</v>
      </c>
      <c r="G181" s="115">
        <v>381.94</v>
      </c>
      <c r="H181" s="114">
        <f t="shared" ref="H181:H186" si="15">TRUNC(F181*G181,2)</f>
        <v>23.48</v>
      </c>
    </row>
    <row r="182" spans="1:8" ht="31.5" customHeight="1" x14ac:dyDescent="0.2">
      <c r="A182" s="84" t="s">
        <v>688</v>
      </c>
      <c r="B182" s="94" t="s">
        <v>114</v>
      </c>
      <c r="C182" s="94" t="s">
        <v>16</v>
      </c>
      <c r="D182" s="101" t="s">
        <v>115</v>
      </c>
      <c r="E182" s="94" t="s">
        <v>40</v>
      </c>
      <c r="F182" s="113">
        <v>6.1499999999999999E-2</v>
      </c>
      <c r="G182" s="115">
        <v>219.96</v>
      </c>
      <c r="H182" s="114">
        <f t="shared" si="15"/>
        <v>13.52</v>
      </c>
    </row>
    <row r="183" spans="1:8" ht="31.5" customHeight="1" x14ac:dyDescent="0.2">
      <c r="A183" s="84" t="s">
        <v>689</v>
      </c>
      <c r="B183" s="94" t="s">
        <v>43</v>
      </c>
      <c r="C183" s="94" t="s">
        <v>16</v>
      </c>
      <c r="D183" s="101" t="s">
        <v>44</v>
      </c>
      <c r="E183" s="94" t="s">
        <v>40</v>
      </c>
      <c r="F183" s="113">
        <v>4.6199999999999998E-2</v>
      </c>
      <c r="G183" s="115">
        <v>64.48</v>
      </c>
      <c r="H183" s="114">
        <f t="shared" si="15"/>
        <v>2.97</v>
      </c>
    </row>
    <row r="184" spans="1:8" ht="24" customHeight="1" x14ac:dyDescent="0.2">
      <c r="A184" s="84" t="s">
        <v>690</v>
      </c>
      <c r="B184" s="92" t="s">
        <v>763</v>
      </c>
      <c r="C184" s="92" t="s">
        <v>16</v>
      </c>
      <c r="D184" s="102" t="s">
        <v>762</v>
      </c>
      <c r="E184" s="93" t="s">
        <v>47</v>
      </c>
      <c r="F184" s="116">
        <v>0.25</v>
      </c>
      <c r="G184" s="115">
        <v>1.2</v>
      </c>
      <c r="H184" s="114">
        <f t="shared" si="15"/>
        <v>0.3</v>
      </c>
    </row>
    <row r="185" spans="1:8" ht="32.25" customHeight="1" x14ac:dyDescent="0.2">
      <c r="A185" s="84" t="s">
        <v>691</v>
      </c>
      <c r="B185" s="92" t="s">
        <v>161</v>
      </c>
      <c r="C185" s="92" t="s">
        <v>238</v>
      </c>
      <c r="D185" s="105" t="s">
        <v>162</v>
      </c>
      <c r="E185" s="93" t="s">
        <v>146</v>
      </c>
      <c r="F185" s="116">
        <v>1</v>
      </c>
      <c r="G185" s="96">
        <f>H126</f>
        <v>3.19</v>
      </c>
      <c r="H185" s="114">
        <f t="shared" si="15"/>
        <v>3.19</v>
      </c>
    </row>
    <row r="186" spans="1:8" ht="36" customHeight="1" x14ac:dyDescent="0.2">
      <c r="A186" s="84" t="s">
        <v>692</v>
      </c>
      <c r="B186" s="94" t="s">
        <v>330</v>
      </c>
      <c r="C186" s="94" t="s">
        <v>16</v>
      </c>
      <c r="D186" s="101" t="s">
        <v>331</v>
      </c>
      <c r="E186" s="94" t="s">
        <v>332</v>
      </c>
      <c r="F186" s="113">
        <v>0.86624999999999996</v>
      </c>
      <c r="G186" s="115">
        <v>2.64</v>
      </c>
      <c r="H186" s="114">
        <f t="shared" si="15"/>
        <v>2.2799999999999998</v>
      </c>
    </row>
    <row r="187" spans="1:8" ht="15.75" customHeight="1" x14ac:dyDescent="0.2">
      <c r="A187" s="84" t="s">
        <v>693</v>
      </c>
      <c r="B187" s="94"/>
      <c r="C187" s="94"/>
      <c r="D187" s="101"/>
      <c r="E187" s="94"/>
      <c r="F187" s="113"/>
      <c r="G187" s="95"/>
      <c r="H187" s="114"/>
    </row>
    <row r="188" spans="1:8" ht="48" hidden="1" customHeight="1" x14ac:dyDescent="0.2">
      <c r="A188" s="84" t="s">
        <v>694</v>
      </c>
      <c r="B188" s="98" t="s">
        <v>238</v>
      </c>
      <c r="C188" s="98" t="s">
        <v>179</v>
      </c>
      <c r="D188" s="99" t="s">
        <v>180</v>
      </c>
      <c r="E188" s="98"/>
      <c r="F188" s="122" t="s">
        <v>246</v>
      </c>
      <c r="G188" s="100"/>
      <c r="H188" s="123">
        <f>SUM(H189:H192)</f>
        <v>51.14</v>
      </c>
    </row>
    <row r="189" spans="1:8" ht="26.25" hidden="1" customHeight="1" x14ac:dyDescent="0.2">
      <c r="A189" s="84" t="s">
        <v>695</v>
      </c>
      <c r="B189" s="94" t="s">
        <v>273</v>
      </c>
      <c r="C189" s="94" t="s">
        <v>16</v>
      </c>
      <c r="D189" s="101" t="s">
        <v>268</v>
      </c>
      <c r="E189" s="94" t="s">
        <v>25</v>
      </c>
      <c r="F189" s="113">
        <v>0.44</v>
      </c>
      <c r="G189" s="115">
        <v>16.3</v>
      </c>
      <c r="H189" s="114">
        <f>TRUNC(F189*G189,2)</f>
        <v>7.17</v>
      </c>
    </row>
    <row r="190" spans="1:8" ht="24" hidden="1" customHeight="1" x14ac:dyDescent="0.2">
      <c r="A190" s="84" t="s">
        <v>696</v>
      </c>
      <c r="B190" s="94" t="s">
        <v>418</v>
      </c>
      <c r="C190" s="94" t="s">
        <v>16</v>
      </c>
      <c r="D190" s="101" t="s">
        <v>419</v>
      </c>
      <c r="E190" s="94" t="s">
        <v>25</v>
      </c>
      <c r="F190" s="113">
        <v>0.64</v>
      </c>
      <c r="G190" s="115">
        <v>19.87</v>
      </c>
      <c r="H190" s="114">
        <f t="shared" ref="H190:H192" si="16">TRUNC(F190*G190,2)</f>
        <v>12.71</v>
      </c>
    </row>
    <row r="191" spans="1:8" ht="42.75" hidden="1" customHeight="1" x14ac:dyDescent="0.2">
      <c r="A191" s="84" t="s">
        <v>697</v>
      </c>
      <c r="B191" s="94" t="s">
        <v>420</v>
      </c>
      <c r="C191" s="94" t="s">
        <v>16</v>
      </c>
      <c r="D191" s="101" t="s">
        <v>421</v>
      </c>
      <c r="E191" s="94" t="s">
        <v>40</v>
      </c>
      <c r="F191" s="113">
        <v>6.0000000000000001E-3</v>
      </c>
      <c r="G191" s="115">
        <v>585.42999999999995</v>
      </c>
      <c r="H191" s="114">
        <f t="shared" si="16"/>
        <v>3.51</v>
      </c>
    </row>
    <row r="192" spans="1:8" ht="33.75" hidden="1" customHeight="1" x14ac:dyDescent="0.2">
      <c r="A192" s="84" t="s">
        <v>698</v>
      </c>
      <c r="B192" s="94" t="s">
        <v>422</v>
      </c>
      <c r="C192" s="94" t="s">
        <v>16</v>
      </c>
      <c r="D192" s="101" t="s">
        <v>423</v>
      </c>
      <c r="E192" s="94" t="s">
        <v>248</v>
      </c>
      <c r="F192" s="113">
        <v>2.5</v>
      </c>
      <c r="G192" s="115">
        <v>11.1</v>
      </c>
      <c r="H192" s="114">
        <f t="shared" si="16"/>
        <v>27.75</v>
      </c>
    </row>
    <row r="193" spans="1:8" ht="24" hidden="1" customHeight="1" x14ac:dyDescent="0.2">
      <c r="A193" s="84" t="s">
        <v>699</v>
      </c>
      <c r="B193" s="94"/>
      <c r="C193" s="94"/>
      <c r="D193" s="101"/>
      <c r="E193" s="94"/>
      <c r="F193" s="113"/>
      <c r="G193" s="95"/>
      <c r="H193" s="114"/>
    </row>
    <row r="194" spans="1:8" ht="45" customHeight="1" x14ac:dyDescent="0.2">
      <c r="A194" s="84" t="s">
        <v>700</v>
      </c>
      <c r="B194" s="98" t="s">
        <v>238</v>
      </c>
      <c r="C194" s="98" t="s">
        <v>187</v>
      </c>
      <c r="D194" s="99" t="s">
        <v>188</v>
      </c>
      <c r="E194" s="98"/>
      <c r="F194" s="122" t="s">
        <v>244</v>
      </c>
      <c r="G194" s="100"/>
      <c r="H194" s="123">
        <f>SUM(H195:H203)</f>
        <v>15.799999999999999</v>
      </c>
    </row>
    <row r="195" spans="1:8" ht="60" customHeight="1" x14ac:dyDescent="0.2">
      <c r="A195" s="84" t="s">
        <v>701</v>
      </c>
      <c r="B195" s="94" t="s">
        <v>424</v>
      </c>
      <c r="C195" s="94" t="s">
        <v>16</v>
      </c>
      <c r="D195" s="101" t="s">
        <v>425</v>
      </c>
      <c r="E195" s="94" t="s">
        <v>337</v>
      </c>
      <c r="F195" s="113">
        <v>3.0631999999999999E-3</v>
      </c>
      <c r="G195" s="115">
        <v>162.43</v>
      </c>
      <c r="H195" s="114">
        <f>TRUNC(F195*G195,2)</f>
        <v>0.49</v>
      </c>
    </row>
    <row r="196" spans="1:8" ht="60" customHeight="1" x14ac:dyDescent="0.2">
      <c r="A196" s="84" t="s">
        <v>702</v>
      </c>
      <c r="B196" s="94" t="s">
        <v>426</v>
      </c>
      <c r="C196" s="94" t="s">
        <v>16</v>
      </c>
      <c r="D196" s="101" t="s">
        <v>427</v>
      </c>
      <c r="E196" s="94" t="s">
        <v>317</v>
      </c>
      <c r="F196" s="113">
        <v>3.0631999999999999E-3</v>
      </c>
      <c r="G196" s="115">
        <v>42.03</v>
      </c>
      <c r="H196" s="114">
        <f t="shared" ref="H196:H203" si="17">TRUNC(F196*G196,2)</f>
        <v>0.12</v>
      </c>
    </row>
    <row r="197" spans="1:8" ht="32.25" customHeight="1" x14ac:dyDescent="0.2">
      <c r="A197" s="84" t="s">
        <v>703</v>
      </c>
      <c r="B197" s="92" t="s">
        <v>255</v>
      </c>
      <c r="C197" s="92" t="s">
        <v>251</v>
      </c>
      <c r="D197" s="102" t="s">
        <v>451</v>
      </c>
      <c r="E197" s="93" t="s">
        <v>337</v>
      </c>
      <c r="F197" s="116">
        <v>6.1260000000000004E-3</v>
      </c>
      <c r="G197" s="96">
        <v>255.87</v>
      </c>
      <c r="H197" s="114">
        <f t="shared" si="17"/>
        <v>1.56</v>
      </c>
    </row>
    <row r="198" spans="1:8" ht="24" customHeight="1" x14ac:dyDescent="0.2">
      <c r="A198" s="84" t="s">
        <v>704</v>
      </c>
      <c r="B198" s="94" t="s">
        <v>428</v>
      </c>
      <c r="C198" s="94" t="s">
        <v>16</v>
      </c>
      <c r="D198" s="101" t="s">
        <v>429</v>
      </c>
      <c r="E198" s="94" t="s">
        <v>25</v>
      </c>
      <c r="F198" s="113">
        <v>6.1263000000000003E-3</v>
      </c>
      <c r="G198" s="115">
        <v>21.02</v>
      </c>
      <c r="H198" s="114">
        <f t="shared" si="17"/>
        <v>0.12</v>
      </c>
    </row>
    <row r="199" spans="1:8" ht="24" customHeight="1" x14ac:dyDescent="0.2">
      <c r="A199" s="84" t="s">
        <v>705</v>
      </c>
      <c r="B199" s="94" t="s">
        <v>273</v>
      </c>
      <c r="C199" s="94" t="s">
        <v>16</v>
      </c>
      <c r="D199" s="101" t="s">
        <v>268</v>
      </c>
      <c r="E199" s="94" t="s">
        <v>25</v>
      </c>
      <c r="F199" s="113">
        <v>3.0631599999999998E-2</v>
      </c>
      <c r="G199" s="115">
        <v>16.3</v>
      </c>
      <c r="H199" s="114">
        <f t="shared" si="17"/>
        <v>0.49</v>
      </c>
    </row>
    <row r="200" spans="1:8" ht="28.5" customHeight="1" x14ac:dyDescent="0.2">
      <c r="A200" s="84" t="s">
        <v>706</v>
      </c>
      <c r="B200" s="94">
        <v>44478</v>
      </c>
      <c r="C200" s="94" t="s">
        <v>16</v>
      </c>
      <c r="D200" s="101" t="s">
        <v>430</v>
      </c>
      <c r="E200" s="94" t="s">
        <v>278</v>
      </c>
      <c r="F200" s="113">
        <v>0.125</v>
      </c>
      <c r="G200" s="115">
        <v>14.44</v>
      </c>
      <c r="H200" s="114">
        <f t="shared" si="17"/>
        <v>1.8</v>
      </c>
    </row>
    <row r="201" spans="1:8" ht="28.5" customHeight="1" x14ac:dyDescent="0.2">
      <c r="A201" s="84" t="s">
        <v>707</v>
      </c>
      <c r="B201" s="94">
        <v>44477</v>
      </c>
      <c r="C201" s="94" t="s">
        <v>16</v>
      </c>
      <c r="D201" s="101" t="s">
        <v>431</v>
      </c>
      <c r="E201" s="94" t="s">
        <v>278</v>
      </c>
      <c r="F201" s="113">
        <v>0.25</v>
      </c>
      <c r="G201" s="115">
        <v>14.44</v>
      </c>
      <c r="H201" s="114">
        <f t="shared" si="17"/>
        <v>3.61</v>
      </c>
    </row>
    <row r="202" spans="1:8" ht="29.25" customHeight="1" x14ac:dyDescent="0.2">
      <c r="A202" s="84" t="s">
        <v>708</v>
      </c>
      <c r="B202" s="92" t="s">
        <v>777</v>
      </c>
      <c r="C202" s="92" t="s">
        <v>16</v>
      </c>
      <c r="D202" s="102" t="s">
        <v>776</v>
      </c>
      <c r="E202" s="93" t="s">
        <v>289</v>
      </c>
      <c r="F202" s="116">
        <v>0.5</v>
      </c>
      <c r="G202" s="96">
        <v>14.21</v>
      </c>
      <c r="H202" s="114">
        <f t="shared" si="17"/>
        <v>7.1</v>
      </c>
    </row>
    <row r="203" spans="1:8" ht="24" customHeight="1" x14ac:dyDescent="0.2">
      <c r="A203" s="84" t="s">
        <v>709</v>
      </c>
      <c r="B203" s="92" t="s">
        <v>256</v>
      </c>
      <c r="C203" s="92" t="s">
        <v>251</v>
      </c>
      <c r="D203" s="102" t="s">
        <v>452</v>
      </c>
      <c r="E203" s="93" t="s">
        <v>289</v>
      </c>
      <c r="F203" s="116">
        <v>0.03</v>
      </c>
      <c r="G203" s="96">
        <v>17.13</v>
      </c>
      <c r="H203" s="114">
        <f t="shared" si="17"/>
        <v>0.51</v>
      </c>
    </row>
    <row r="204" spans="1:8" ht="21" customHeight="1" x14ac:dyDescent="0.2">
      <c r="A204" s="84" t="s">
        <v>710</v>
      </c>
      <c r="B204" s="92"/>
      <c r="C204" s="92"/>
      <c r="D204" s="102"/>
      <c r="E204" s="93"/>
      <c r="F204" s="116"/>
      <c r="G204" s="96"/>
      <c r="H204" s="124"/>
    </row>
    <row r="205" spans="1:8" ht="43.5" customHeight="1" x14ac:dyDescent="0.2">
      <c r="A205" s="84" t="s">
        <v>711</v>
      </c>
      <c r="B205" s="98" t="s">
        <v>238</v>
      </c>
      <c r="C205" s="98" t="s">
        <v>189</v>
      </c>
      <c r="D205" s="99" t="s">
        <v>190</v>
      </c>
      <c r="E205" s="98"/>
      <c r="F205" s="122" t="s">
        <v>244</v>
      </c>
      <c r="G205" s="100"/>
      <c r="H205" s="123">
        <f>SUM(H206:H214)</f>
        <v>732.81</v>
      </c>
    </row>
    <row r="206" spans="1:8" ht="48.75" customHeight="1" x14ac:dyDescent="0.2">
      <c r="A206" s="84" t="s">
        <v>712</v>
      </c>
      <c r="B206" s="94" t="s">
        <v>424</v>
      </c>
      <c r="C206" s="94" t="s">
        <v>16</v>
      </c>
      <c r="D206" s="101" t="s">
        <v>425</v>
      </c>
      <c r="E206" s="94" t="s">
        <v>337</v>
      </c>
      <c r="F206" s="113">
        <v>1.65673E-2</v>
      </c>
      <c r="G206" s="115">
        <v>162.43</v>
      </c>
      <c r="H206" s="114">
        <f t="shared" ref="H206:H214" si="18">TRUNC(F206*G206,2)</f>
        <v>2.69</v>
      </c>
    </row>
    <row r="207" spans="1:8" ht="48.75" customHeight="1" x14ac:dyDescent="0.2">
      <c r="A207" s="84" t="s">
        <v>713</v>
      </c>
      <c r="B207" s="94" t="s">
        <v>426</v>
      </c>
      <c r="C207" s="94" t="s">
        <v>16</v>
      </c>
      <c r="D207" s="101" t="s">
        <v>427</v>
      </c>
      <c r="E207" s="94" t="s">
        <v>317</v>
      </c>
      <c r="F207" s="113">
        <v>1.65673E-2</v>
      </c>
      <c r="G207" s="115">
        <v>42.03</v>
      </c>
      <c r="H207" s="114">
        <f t="shared" si="18"/>
        <v>0.69</v>
      </c>
    </row>
    <row r="208" spans="1:8" ht="32.25" customHeight="1" x14ac:dyDescent="0.2">
      <c r="A208" s="84" t="s">
        <v>714</v>
      </c>
      <c r="B208" s="92" t="s">
        <v>255</v>
      </c>
      <c r="C208" s="92" t="s">
        <v>251</v>
      </c>
      <c r="D208" s="102" t="str">
        <f>D197</f>
        <v>CAMINHÃO DEMARCADOR DE FAIXAS COM SISITEMA DE PINTURAS A FRIO - 28 KW/115KW</v>
      </c>
      <c r="E208" s="93" t="str">
        <f>E197</f>
        <v>CHP</v>
      </c>
      <c r="F208" s="116">
        <v>3.3134999999999998E-2</v>
      </c>
      <c r="G208" s="96">
        <v>255.87</v>
      </c>
      <c r="H208" s="114">
        <f t="shared" si="18"/>
        <v>8.4700000000000006</v>
      </c>
    </row>
    <row r="209" spans="1:8" ht="24" customHeight="1" x14ac:dyDescent="0.2">
      <c r="A209" s="84" t="s">
        <v>715</v>
      </c>
      <c r="B209" s="94" t="s">
        <v>428</v>
      </c>
      <c r="C209" s="94" t="s">
        <v>16</v>
      </c>
      <c r="D209" s="101" t="s">
        <v>429</v>
      </c>
      <c r="E209" s="94" t="s">
        <v>25</v>
      </c>
      <c r="F209" s="113">
        <v>3.3134499999999997E-2</v>
      </c>
      <c r="G209" s="115">
        <v>21.02</v>
      </c>
      <c r="H209" s="114">
        <f t="shared" si="18"/>
        <v>0.69</v>
      </c>
    </row>
    <row r="210" spans="1:8" ht="24" customHeight="1" x14ac:dyDescent="0.2">
      <c r="A210" s="84" t="s">
        <v>716</v>
      </c>
      <c r="B210" s="94" t="s">
        <v>273</v>
      </c>
      <c r="C210" s="94" t="s">
        <v>16</v>
      </c>
      <c r="D210" s="101" t="s">
        <v>268</v>
      </c>
      <c r="E210" s="94" t="s">
        <v>25</v>
      </c>
      <c r="F210" s="113">
        <v>0.1656726</v>
      </c>
      <c r="G210" s="115">
        <v>16.3</v>
      </c>
      <c r="H210" s="114">
        <f t="shared" si="18"/>
        <v>2.7</v>
      </c>
    </row>
    <row r="211" spans="1:8" ht="30.75" customHeight="1" x14ac:dyDescent="0.2">
      <c r="A211" s="84" t="s">
        <v>717</v>
      </c>
      <c r="B211" s="94">
        <v>44478</v>
      </c>
      <c r="C211" s="94" t="s">
        <v>16</v>
      </c>
      <c r="D211" s="101" t="s">
        <v>430</v>
      </c>
      <c r="E211" s="94" t="s">
        <v>278</v>
      </c>
      <c r="F211" s="113">
        <v>0.125</v>
      </c>
      <c r="G211" s="115">
        <v>14.44</v>
      </c>
      <c r="H211" s="114">
        <f t="shared" si="18"/>
        <v>1.8</v>
      </c>
    </row>
    <row r="212" spans="1:8" ht="30.75" customHeight="1" x14ac:dyDescent="0.2">
      <c r="A212" s="84" t="s">
        <v>718</v>
      </c>
      <c r="B212" s="94">
        <v>44477</v>
      </c>
      <c r="C212" s="94" t="s">
        <v>16</v>
      </c>
      <c r="D212" s="101" t="s">
        <v>431</v>
      </c>
      <c r="E212" s="94" t="s">
        <v>278</v>
      </c>
      <c r="F212" s="113">
        <v>0.33</v>
      </c>
      <c r="G212" s="115">
        <v>14.44</v>
      </c>
      <c r="H212" s="114">
        <f t="shared" si="18"/>
        <v>4.76</v>
      </c>
    </row>
    <row r="213" spans="1:8" ht="30.75" customHeight="1" x14ac:dyDescent="0.2">
      <c r="A213" s="84" t="s">
        <v>719</v>
      </c>
      <c r="B213" s="92" t="s">
        <v>777</v>
      </c>
      <c r="C213" s="92" t="s">
        <v>16</v>
      </c>
      <c r="D213" s="102" t="s">
        <v>776</v>
      </c>
      <c r="E213" s="93" t="s">
        <v>289</v>
      </c>
      <c r="F213" s="116">
        <v>0.5</v>
      </c>
      <c r="G213" s="96">
        <v>1421</v>
      </c>
      <c r="H213" s="114">
        <f t="shared" si="18"/>
        <v>710.5</v>
      </c>
    </row>
    <row r="214" spans="1:8" ht="24" customHeight="1" x14ac:dyDescent="0.2">
      <c r="A214" s="84" t="s">
        <v>720</v>
      </c>
      <c r="B214" s="92" t="s">
        <v>256</v>
      </c>
      <c r="C214" s="92" t="s">
        <v>251</v>
      </c>
      <c r="D214" s="102" t="s">
        <v>452</v>
      </c>
      <c r="E214" s="93" t="s">
        <v>289</v>
      </c>
      <c r="F214" s="116">
        <v>0.03</v>
      </c>
      <c r="G214" s="96">
        <v>17.13</v>
      </c>
      <c r="H214" s="114">
        <f t="shared" si="18"/>
        <v>0.51</v>
      </c>
    </row>
    <row r="215" spans="1:8" ht="24" customHeight="1" x14ac:dyDescent="0.2">
      <c r="A215" s="84" t="s">
        <v>721</v>
      </c>
      <c r="B215" s="94"/>
      <c r="C215" s="94"/>
      <c r="D215" s="101"/>
      <c r="E215" s="94"/>
      <c r="F215" s="113"/>
      <c r="G215" s="95"/>
      <c r="H215" s="114"/>
    </row>
    <row r="216" spans="1:8" ht="96.75" customHeight="1" x14ac:dyDescent="0.2">
      <c r="A216" s="84" t="s">
        <v>722</v>
      </c>
      <c r="B216" s="98" t="s">
        <v>238</v>
      </c>
      <c r="C216" s="98" t="s">
        <v>191</v>
      </c>
      <c r="D216" s="99" t="s">
        <v>192</v>
      </c>
      <c r="E216" s="98"/>
      <c r="F216" s="122" t="s">
        <v>248</v>
      </c>
      <c r="G216" s="100"/>
      <c r="H216" s="123">
        <f>SUM(H217:H225)</f>
        <v>436.51</v>
      </c>
    </row>
    <row r="217" spans="1:8" ht="63" customHeight="1" x14ac:dyDescent="0.2">
      <c r="A217" s="84" t="s">
        <v>723</v>
      </c>
      <c r="B217" s="94" t="s">
        <v>378</v>
      </c>
      <c r="C217" s="94" t="s">
        <v>16</v>
      </c>
      <c r="D217" s="101" t="s">
        <v>379</v>
      </c>
      <c r="E217" s="94" t="s">
        <v>337</v>
      </c>
      <c r="F217" s="113">
        <v>0.33333299999999999</v>
      </c>
      <c r="G217" s="115">
        <v>206.64</v>
      </c>
      <c r="H217" s="114">
        <f t="shared" ref="H217:H225" si="19">TRUNC(F217*G217,2)</f>
        <v>68.87</v>
      </c>
    </row>
    <row r="218" spans="1:8" ht="30.75" customHeight="1" x14ac:dyDescent="0.2">
      <c r="A218" s="84" t="s">
        <v>724</v>
      </c>
      <c r="B218" s="94" t="s">
        <v>432</v>
      </c>
      <c r="C218" s="94" t="s">
        <v>16</v>
      </c>
      <c r="D218" s="101" t="s">
        <v>433</v>
      </c>
      <c r="E218" s="94" t="s">
        <v>25</v>
      </c>
      <c r="F218" s="113">
        <v>0.35910399999999998</v>
      </c>
      <c r="G218" s="115">
        <v>20.05</v>
      </c>
      <c r="H218" s="114">
        <f t="shared" si="19"/>
        <v>7.2</v>
      </c>
    </row>
    <row r="219" spans="1:8" ht="24" customHeight="1" x14ac:dyDescent="0.2">
      <c r="A219" s="84" t="s">
        <v>725</v>
      </c>
      <c r="B219" s="94" t="s">
        <v>273</v>
      </c>
      <c r="C219" s="94" t="s">
        <v>16</v>
      </c>
      <c r="D219" s="101" t="s">
        <v>268</v>
      </c>
      <c r="E219" s="94" t="s">
        <v>25</v>
      </c>
      <c r="F219" s="113">
        <v>0.62824400000000002</v>
      </c>
      <c r="G219" s="115">
        <v>16.3</v>
      </c>
      <c r="H219" s="114">
        <f t="shared" si="19"/>
        <v>10.24</v>
      </c>
    </row>
    <row r="220" spans="1:8" ht="36" customHeight="1" x14ac:dyDescent="0.2">
      <c r="A220" s="84" t="s">
        <v>726</v>
      </c>
      <c r="B220" s="94" t="s">
        <v>434</v>
      </c>
      <c r="C220" s="94" t="s">
        <v>16</v>
      </c>
      <c r="D220" s="101" t="s">
        <v>435</v>
      </c>
      <c r="E220" s="94" t="s">
        <v>246</v>
      </c>
      <c r="F220" s="113">
        <v>3.5</v>
      </c>
      <c r="G220" s="115">
        <v>91.09</v>
      </c>
      <c r="H220" s="114">
        <f t="shared" si="19"/>
        <v>318.81</v>
      </c>
    </row>
    <row r="221" spans="1:8" ht="43.5" customHeight="1" x14ac:dyDescent="0.2">
      <c r="A221" s="84" t="s">
        <v>727</v>
      </c>
      <c r="B221" s="92">
        <v>100723</v>
      </c>
      <c r="C221" s="92" t="s">
        <v>16</v>
      </c>
      <c r="D221" s="102" t="s">
        <v>454</v>
      </c>
      <c r="E221" s="93" t="s">
        <v>259</v>
      </c>
      <c r="F221" s="116">
        <v>1.1171500000000001</v>
      </c>
      <c r="G221" s="115">
        <v>9.7799999999999994</v>
      </c>
      <c r="H221" s="114">
        <f t="shared" si="19"/>
        <v>10.92</v>
      </c>
    </row>
    <row r="222" spans="1:8" ht="33.75" customHeight="1" x14ac:dyDescent="0.2">
      <c r="A222" s="84" t="s">
        <v>728</v>
      </c>
      <c r="B222" s="94" t="s">
        <v>43</v>
      </c>
      <c r="C222" s="94" t="s">
        <v>16</v>
      </c>
      <c r="D222" s="101" t="s">
        <v>44</v>
      </c>
      <c r="E222" s="94" t="s">
        <v>40</v>
      </c>
      <c r="F222" s="113">
        <v>2.9451999999999999E-2</v>
      </c>
      <c r="G222" s="115">
        <v>64.48</v>
      </c>
      <c r="H222" s="114">
        <f t="shared" si="19"/>
        <v>1.89</v>
      </c>
    </row>
    <row r="223" spans="1:8" ht="46.5" customHeight="1" x14ac:dyDescent="0.2">
      <c r="A223" s="84" t="s">
        <v>729</v>
      </c>
      <c r="B223" s="94" t="s">
        <v>416</v>
      </c>
      <c r="C223" s="94" t="s">
        <v>16</v>
      </c>
      <c r="D223" s="101" t="s">
        <v>417</v>
      </c>
      <c r="E223" s="94" t="s">
        <v>40</v>
      </c>
      <c r="F223" s="113">
        <v>2.8469999999999999E-2</v>
      </c>
      <c r="G223" s="115">
        <v>381.94</v>
      </c>
      <c r="H223" s="114">
        <f t="shared" si="19"/>
        <v>10.87</v>
      </c>
    </row>
    <row r="224" spans="1:8" ht="33.75" customHeight="1" x14ac:dyDescent="0.2">
      <c r="A224" s="84" t="s">
        <v>730</v>
      </c>
      <c r="B224" s="94">
        <v>103670</v>
      </c>
      <c r="C224" s="94" t="s">
        <v>16</v>
      </c>
      <c r="D224" s="101" t="s">
        <v>115</v>
      </c>
      <c r="E224" s="94" t="s">
        <v>40</v>
      </c>
      <c r="F224" s="113">
        <v>2.8469999999999999E-2</v>
      </c>
      <c r="G224" s="115">
        <v>219.96</v>
      </c>
      <c r="H224" s="114">
        <f t="shared" si="19"/>
        <v>6.26</v>
      </c>
    </row>
    <row r="225" spans="1:8" ht="33.75" customHeight="1" x14ac:dyDescent="0.2">
      <c r="A225" s="84" t="s">
        <v>731</v>
      </c>
      <c r="B225" s="94" t="s">
        <v>330</v>
      </c>
      <c r="C225" s="94" t="s">
        <v>16</v>
      </c>
      <c r="D225" s="101" t="s">
        <v>331</v>
      </c>
      <c r="E225" s="94" t="s">
        <v>332</v>
      </c>
      <c r="F225" s="113">
        <v>0.55222499999999997</v>
      </c>
      <c r="G225" s="115">
        <v>2.64</v>
      </c>
      <c r="H225" s="114">
        <f t="shared" si="19"/>
        <v>1.45</v>
      </c>
    </row>
    <row r="226" spans="1:8" ht="18.75" customHeight="1" x14ac:dyDescent="0.2">
      <c r="A226" s="84" t="s">
        <v>732</v>
      </c>
      <c r="B226" s="94"/>
      <c r="C226" s="94"/>
      <c r="D226" s="101"/>
      <c r="E226" s="94"/>
      <c r="F226" s="113"/>
      <c r="G226" s="95"/>
      <c r="H226" s="114"/>
    </row>
    <row r="227" spans="1:8" ht="72.75" customHeight="1" x14ac:dyDescent="0.2">
      <c r="A227" s="84" t="s">
        <v>733</v>
      </c>
      <c r="B227" s="98" t="s">
        <v>238</v>
      </c>
      <c r="C227" s="98" t="s">
        <v>193</v>
      </c>
      <c r="D227" s="99" t="s">
        <v>194</v>
      </c>
      <c r="E227" s="98"/>
      <c r="F227" s="122" t="s">
        <v>244</v>
      </c>
      <c r="G227" s="100"/>
      <c r="H227" s="123">
        <f>SUM(H228)</f>
        <v>526.57000000000005</v>
      </c>
    </row>
    <row r="228" spans="1:8" ht="55.5" customHeight="1" x14ac:dyDescent="0.2">
      <c r="A228" s="84" t="s">
        <v>734</v>
      </c>
      <c r="B228" s="92" t="s">
        <v>257</v>
      </c>
      <c r="C228" s="92" t="s">
        <v>251</v>
      </c>
      <c r="D228" s="102" t="s">
        <v>453</v>
      </c>
      <c r="E228" s="93" t="s">
        <v>244</v>
      </c>
      <c r="F228" s="116">
        <v>1</v>
      </c>
      <c r="G228" s="96">
        <v>526.57000000000005</v>
      </c>
      <c r="H228" s="124">
        <f>TRUNC(G228*F228,2)</f>
        <v>526.57000000000005</v>
      </c>
    </row>
    <row r="229" spans="1:8" ht="20.25" customHeight="1" x14ac:dyDescent="0.2">
      <c r="A229" s="84" t="s">
        <v>735</v>
      </c>
      <c r="B229" s="92"/>
      <c r="C229" s="92"/>
      <c r="D229" s="102"/>
      <c r="E229" s="93"/>
      <c r="F229" s="116"/>
      <c r="G229" s="96"/>
      <c r="H229" s="124"/>
    </row>
    <row r="230" spans="1:8" ht="26.25" customHeight="1" x14ac:dyDescent="0.2">
      <c r="A230" s="84" t="s">
        <v>736</v>
      </c>
      <c r="B230" s="98" t="s">
        <v>238</v>
      </c>
      <c r="C230" s="98" t="s">
        <v>165</v>
      </c>
      <c r="D230" s="99" t="s">
        <v>166</v>
      </c>
      <c r="E230" s="98"/>
      <c r="F230" s="122" t="s">
        <v>250</v>
      </c>
      <c r="G230" s="100"/>
      <c r="H230" s="123">
        <f>SUM(H231:H232)</f>
        <v>22.48</v>
      </c>
    </row>
    <row r="231" spans="1:8" ht="48" customHeight="1" x14ac:dyDescent="0.2">
      <c r="A231" s="84" t="s">
        <v>737</v>
      </c>
      <c r="B231" s="94" t="s">
        <v>436</v>
      </c>
      <c r="C231" s="94" t="s">
        <v>16</v>
      </c>
      <c r="D231" s="101" t="s">
        <v>437</v>
      </c>
      <c r="E231" s="94" t="s">
        <v>317</v>
      </c>
      <c r="F231" s="113">
        <v>0.25</v>
      </c>
      <c r="G231" s="115">
        <v>44.31</v>
      </c>
      <c r="H231" s="114">
        <f t="shared" ref="H231:H232" si="20">TRUNC(F231*G231,2)</f>
        <v>11.07</v>
      </c>
    </row>
    <row r="232" spans="1:8" ht="24" customHeight="1" x14ac:dyDescent="0.2">
      <c r="A232" s="84" t="s">
        <v>738</v>
      </c>
      <c r="B232" s="94" t="s">
        <v>273</v>
      </c>
      <c r="C232" s="94" t="s">
        <v>16</v>
      </c>
      <c r="D232" s="101" t="s">
        <v>268</v>
      </c>
      <c r="E232" s="94" t="s">
        <v>25</v>
      </c>
      <c r="F232" s="113">
        <v>0.7</v>
      </c>
      <c r="G232" s="115">
        <v>16.3</v>
      </c>
      <c r="H232" s="114">
        <f t="shared" si="20"/>
        <v>11.41</v>
      </c>
    </row>
    <row r="233" spans="1:8" ht="19.5" customHeight="1" x14ac:dyDescent="0.2">
      <c r="A233" s="84" t="s">
        <v>739</v>
      </c>
      <c r="B233" s="94"/>
      <c r="C233" s="94"/>
      <c r="D233" s="101"/>
      <c r="E233" s="94"/>
      <c r="F233" s="113"/>
      <c r="G233" s="95"/>
      <c r="H233" s="114"/>
    </row>
    <row r="234" spans="1:8" ht="30.75" customHeight="1" x14ac:dyDescent="0.2">
      <c r="A234" s="84" t="s">
        <v>740</v>
      </c>
      <c r="B234" s="98" t="s">
        <v>238</v>
      </c>
      <c r="C234" s="98" t="s">
        <v>132</v>
      </c>
      <c r="D234" s="99" t="s">
        <v>266</v>
      </c>
      <c r="E234" s="98"/>
      <c r="F234" s="122" t="s">
        <v>258</v>
      </c>
      <c r="G234" s="100"/>
      <c r="H234" s="123">
        <f>SUM(H235:H237)</f>
        <v>4506.5899999999992</v>
      </c>
    </row>
    <row r="235" spans="1:8" ht="36" customHeight="1" x14ac:dyDescent="0.2">
      <c r="A235" s="84" t="s">
        <v>741</v>
      </c>
      <c r="B235" s="94" t="s">
        <v>438</v>
      </c>
      <c r="C235" s="94" t="s">
        <v>16</v>
      </c>
      <c r="D235" s="101" t="s">
        <v>439</v>
      </c>
      <c r="E235" s="94" t="s">
        <v>337</v>
      </c>
      <c r="F235" s="113">
        <v>66</v>
      </c>
      <c r="G235" s="115">
        <v>79.959999999999994</v>
      </c>
      <c r="H235" s="114">
        <f t="shared" ref="H235:H237" si="21">TRUNC(F235*G235,2)</f>
        <v>5277.36</v>
      </c>
    </row>
    <row r="236" spans="1:8" ht="36" customHeight="1" x14ac:dyDescent="0.2">
      <c r="A236" s="84" t="s">
        <v>742</v>
      </c>
      <c r="B236" s="94" t="s">
        <v>440</v>
      </c>
      <c r="C236" s="94" t="s">
        <v>16</v>
      </c>
      <c r="D236" s="101" t="s">
        <v>441</v>
      </c>
      <c r="E236" s="94" t="s">
        <v>317</v>
      </c>
      <c r="F236" s="113">
        <v>116.49</v>
      </c>
      <c r="G236" s="115">
        <v>27.19</v>
      </c>
      <c r="H236" s="114">
        <f t="shared" si="21"/>
        <v>3167.36</v>
      </c>
    </row>
    <row r="237" spans="1:8" ht="24" customHeight="1" x14ac:dyDescent="0.2">
      <c r="A237" s="84" t="s">
        <v>743</v>
      </c>
      <c r="B237" s="94" t="s">
        <v>442</v>
      </c>
      <c r="C237" s="94" t="s">
        <v>16</v>
      </c>
      <c r="D237" s="101" t="s">
        <v>443</v>
      </c>
      <c r="E237" s="94" t="s">
        <v>25</v>
      </c>
      <c r="F237" s="113">
        <v>-182.49</v>
      </c>
      <c r="G237" s="115">
        <v>21.58</v>
      </c>
      <c r="H237" s="114">
        <f t="shared" si="21"/>
        <v>-3938.13</v>
      </c>
    </row>
    <row r="238" spans="1:8" ht="24" customHeight="1" x14ac:dyDescent="0.2">
      <c r="A238" s="84" t="s">
        <v>744</v>
      </c>
      <c r="B238" s="94"/>
      <c r="C238" s="94"/>
      <c r="D238" s="101"/>
      <c r="E238" s="94"/>
      <c r="F238" s="113"/>
      <c r="G238" s="95"/>
      <c r="H238" s="114"/>
    </row>
    <row r="239" spans="1:8" ht="45" customHeight="1" x14ac:dyDescent="0.2">
      <c r="A239" s="84" t="s">
        <v>745</v>
      </c>
      <c r="B239" s="98" t="s">
        <v>238</v>
      </c>
      <c r="C239" s="98" t="s">
        <v>167</v>
      </c>
      <c r="D239" s="99" t="s">
        <v>168</v>
      </c>
      <c r="E239" s="98"/>
      <c r="F239" s="122" t="s">
        <v>259</v>
      </c>
      <c r="G239" s="100"/>
      <c r="H239" s="123">
        <f>SUM(H240:H246)</f>
        <v>61.129999999999995</v>
      </c>
    </row>
    <row r="240" spans="1:8" ht="48" customHeight="1" x14ac:dyDescent="0.2">
      <c r="A240" s="84" t="s">
        <v>746</v>
      </c>
      <c r="B240" s="94" t="s">
        <v>79</v>
      </c>
      <c r="C240" s="94" t="s">
        <v>16</v>
      </c>
      <c r="D240" s="101" t="s">
        <v>80</v>
      </c>
      <c r="E240" s="94" t="s">
        <v>40</v>
      </c>
      <c r="F240" s="113">
        <v>0.15</v>
      </c>
      <c r="G240" s="115">
        <v>10.53</v>
      </c>
      <c r="H240" s="114">
        <f t="shared" ref="H240:H246" si="22">TRUNC(F240*G240,2)</f>
        <v>1.57</v>
      </c>
    </row>
    <row r="241" spans="1:8" ht="24" customHeight="1" x14ac:dyDescent="0.2">
      <c r="A241" s="84" t="s">
        <v>747</v>
      </c>
      <c r="B241" s="94" t="s">
        <v>444</v>
      </c>
      <c r="C241" s="94" t="s">
        <v>16</v>
      </c>
      <c r="D241" s="101" t="s">
        <v>445</v>
      </c>
      <c r="E241" s="94" t="s">
        <v>40</v>
      </c>
      <c r="F241" s="113">
        <v>0.2</v>
      </c>
      <c r="G241" s="115">
        <v>39.15</v>
      </c>
      <c r="H241" s="114">
        <f t="shared" si="22"/>
        <v>7.83</v>
      </c>
    </row>
    <row r="242" spans="1:8" ht="36" customHeight="1" x14ac:dyDescent="0.2">
      <c r="A242" s="84" t="s">
        <v>748</v>
      </c>
      <c r="B242" s="94" t="s">
        <v>330</v>
      </c>
      <c r="C242" s="94" t="s">
        <v>16</v>
      </c>
      <c r="D242" s="101" t="s">
        <v>331</v>
      </c>
      <c r="E242" s="94" t="s">
        <v>332</v>
      </c>
      <c r="F242" s="113">
        <v>4.88</v>
      </c>
      <c r="G242" s="115">
        <v>2.64</v>
      </c>
      <c r="H242" s="114">
        <f t="shared" si="22"/>
        <v>12.88</v>
      </c>
    </row>
    <row r="243" spans="1:8" ht="36" customHeight="1" x14ac:dyDescent="0.2">
      <c r="A243" s="84" t="s">
        <v>749</v>
      </c>
      <c r="B243" s="92" t="s">
        <v>173</v>
      </c>
      <c r="C243" s="92" t="s">
        <v>238</v>
      </c>
      <c r="D243" s="105" t="str">
        <f>D248</f>
        <v>EXECUÇÃO DE IMPRIMAÇÃO LIGANTE (PINTURA DE LIGAÇÃO) COM EMULSÃO ASFÁLTICA CM-IMPRIMA</v>
      </c>
      <c r="E243" s="93" t="s">
        <v>47</v>
      </c>
      <c r="F243" s="116">
        <v>1</v>
      </c>
      <c r="G243" s="96">
        <f>H248</f>
        <v>6.88</v>
      </c>
      <c r="H243" s="114">
        <f t="shared" si="22"/>
        <v>6.88</v>
      </c>
    </row>
    <row r="244" spans="1:8" ht="45.75" customHeight="1" x14ac:dyDescent="0.2">
      <c r="A244" s="84" t="s">
        <v>750</v>
      </c>
      <c r="B244" s="94" t="s">
        <v>85</v>
      </c>
      <c r="C244" s="94" t="s">
        <v>16</v>
      </c>
      <c r="D244" s="101" t="s">
        <v>86</v>
      </c>
      <c r="E244" s="94" t="s">
        <v>446</v>
      </c>
      <c r="F244" s="113">
        <v>0.34</v>
      </c>
      <c r="G244" s="115">
        <v>1.83</v>
      </c>
      <c r="H244" s="114">
        <f t="shared" si="22"/>
        <v>0.62</v>
      </c>
    </row>
    <row r="245" spans="1:8" ht="29.25" customHeight="1" x14ac:dyDescent="0.2">
      <c r="A245" s="84" t="s">
        <v>751</v>
      </c>
      <c r="B245" s="94" t="s">
        <v>90</v>
      </c>
      <c r="C245" s="94" t="s">
        <v>16</v>
      </c>
      <c r="D245" s="101" t="s">
        <v>91</v>
      </c>
      <c r="E245" s="94" t="s">
        <v>47</v>
      </c>
      <c r="F245" s="113">
        <v>1</v>
      </c>
      <c r="G245" s="115">
        <v>26.91</v>
      </c>
      <c r="H245" s="114">
        <f t="shared" si="22"/>
        <v>26.91</v>
      </c>
    </row>
    <row r="246" spans="1:8" ht="29.25" customHeight="1" x14ac:dyDescent="0.2">
      <c r="A246" s="84" t="s">
        <v>752</v>
      </c>
      <c r="B246" s="94" t="s">
        <v>447</v>
      </c>
      <c r="C246" s="94" t="s">
        <v>16</v>
      </c>
      <c r="D246" s="101" t="s">
        <v>448</v>
      </c>
      <c r="E246" s="94" t="s">
        <v>332</v>
      </c>
      <c r="F246" s="113">
        <v>1.94</v>
      </c>
      <c r="G246" s="115">
        <v>2.29</v>
      </c>
      <c r="H246" s="114">
        <f t="shared" si="22"/>
        <v>4.4400000000000004</v>
      </c>
    </row>
    <row r="247" spans="1:8" ht="18.75" customHeight="1" x14ac:dyDescent="0.2">
      <c r="A247" s="84" t="s">
        <v>753</v>
      </c>
      <c r="B247" s="132"/>
      <c r="C247" s="132"/>
      <c r="D247" s="133"/>
      <c r="E247" s="132"/>
      <c r="F247" s="132"/>
      <c r="G247" s="95"/>
      <c r="H247" s="134"/>
    </row>
    <row r="248" spans="1:8" ht="36" customHeight="1" x14ac:dyDescent="0.2">
      <c r="A248" s="84" t="s">
        <v>754</v>
      </c>
      <c r="B248" s="98" t="s">
        <v>238</v>
      </c>
      <c r="C248" s="98" t="s">
        <v>778</v>
      </c>
      <c r="D248" s="99" t="s">
        <v>844</v>
      </c>
      <c r="E248" s="98"/>
      <c r="F248" s="122" t="s">
        <v>259</v>
      </c>
      <c r="G248" s="100"/>
      <c r="H248" s="123">
        <f>SUM(H249:H256)</f>
        <v>6.88</v>
      </c>
    </row>
    <row r="249" spans="1:8" ht="33.75" customHeight="1" x14ac:dyDescent="0.2">
      <c r="A249" s="84" t="s">
        <v>755</v>
      </c>
      <c r="B249" s="176">
        <v>5839</v>
      </c>
      <c r="C249" s="94" t="s">
        <v>16</v>
      </c>
      <c r="D249" s="176" t="s">
        <v>405</v>
      </c>
      <c r="E249" s="177" t="s">
        <v>337</v>
      </c>
      <c r="F249" s="177" t="s">
        <v>847</v>
      </c>
      <c r="G249" s="115">
        <v>12.09</v>
      </c>
      <c r="H249" s="114">
        <f t="shared" ref="H249:H256" si="23">TRUNC(F249*G249,2)</f>
        <v>0.02</v>
      </c>
    </row>
    <row r="250" spans="1:8" ht="33.75" customHeight="1" x14ac:dyDescent="0.2">
      <c r="A250" s="84" t="s">
        <v>756</v>
      </c>
      <c r="B250" s="176">
        <v>5841</v>
      </c>
      <c r="C250" s="94" t="s">
        <v>16</v>
      </c>
      <c r="D250" s="176" t="s">
        <v>407</v>
      </c>
      <c r="E250" s="177" t="s">
        <v>317</v>
      </c>
      <c r="F250" s="177" t="s">
        <v>848</v>
      </c>
      <c r="G250" s="115">
        <v>5.75</v>
      </c>
      <c r="H250" s="114">
        <f t="shared" si="23"/>
        <v>0.02</v>
      </c>
    </row>
    <row r="251" spans="1:8" ht="57" customHeight="1" x14ac:dyDescent="0.2">
      <c r="A251" s="84" t="s">
        <v>757</v>
      </c>
      <c r="B251" s="176">
        <v>83362</v>
      </c>
      <c r="C251" s="94" t="s">
        <v>16</v>
      </c>
      <c r="D251" s="176" t="s">
        <v>409</v>
      </c>
      <c r="E251" s="177" t="s">
        <v>337</v>
      </c>
      <c r="F251" s="177" t="s">
        <v>849</v>
      </c>
      <c r="G251" s="95">
        <v>263.02999999999997</v>
      </c>
      <c r="H251" s="114">
        <f t="shared" si="23"/>
        <v>0.26</v>
      </c>
    </row>
    <row r="252" spans="1:8" ht="27.75" customHeight="1" x14ac:dyDescent="0.2">
      <c r="A252" s="84" t="s">
        <v>758</v>
      </c>
      <c r="B252" s="176">
        <v>88316</v>
      </c>
      <c r="C252" s="94" t="s">
        <v>16</v>
      </c>
      <c r="D252" s="176" t="s">
        <v>268</v>
      </c>
      <c r="E252" s="177" t="s">
        <v>25</v>
      </c>
      <c r="F252" s="177" t="s">
        <v>850</v>
      </c>
      <c r="G252" s="115">
        <v>16.3</v>
      </c>
      <c r="H252" s="114">
        <f t="shared" si="23"/>
        <v>0.09</v>
      </c>
    </row>
    <row r="253" spans="1:8" s="136" customFormat="1" ht="35.25" customHeight="1" x14ac:dyDescent="0.2">
      <c r="A253" s="84"/>
      <c r="B253" s="176">
        <v>89035</v>
      </c>
      <c r="C253" s="94" t="s">
        <v>16</v>
      </c>
      <c r="D253" s="176" t="s">
        <v>413</v>
      </c>
      <c r="E253" s="177" t="s">
        <v>337</v>
      </c>
      <c r="F253" s="177" t="s">
        <v>851</v>
      </c>
      <c r="G253" s="115">
        <v>127.77</v>
      </c>
      <c r="H253" s="114">
        <f>TRUNC(F253*G253,2)</f>
        <v>0.21</v>
      </c>
    </row>
    <row r="254" spans="1:8" ht="33.75" customHeight="1" x14ac:dyDescent="0.2">
      <c r="A254" s="84" t="s">
        <v>759</v>
      </c>
      <c r="B254" s="176">
        <v>89036</v>
      </c>
      <c r="C254" s="94" t="s">
        <v>16</v>
      </c>
      <c r="D254" s="176" t="s">
        <v>415</v>
      </c>
      <c r="E254" s="177" t="s">
        <v>317</v>
      </c>
      <c r="F254" s="177" t="s">
        <v>852</v>
      </c>
      <c r="G254" s="115">
        <v>37.14</v>
      </c>
      <c r="H254" s="114">
        <f t="shared" si="23"/>
        <v>0.15</v>
      </c>
    </row>
    <row r="255" spans="1:8" ht="55.5" customHeight="1" x14ac:dyDescent="0.2">
      <c r="A255" s="84" t="s">
        <v>760</v>
      </c>
      <c r="B255" s="176">
        <v>91486</v>
      </c>
      <c r="C255" s="94" t="s">
        <v>16</v>
      </c>
      <c r="D255" s="176" t="s">
        <v>411</v>
      </c>
      <c r="E255" s="177" t="s">
        <v>317</v>
      </c>
      <c r="F255" s="177" t="s">
        <v>853</v>
      </c>
      <c r="G255" s="115">
        <v>51.4</v>
      </c>
      <c r="H255" s="114">
        <f t="shared" si="23"/>
        <v>0.25</v>
      </c>
    </row>
    <row r="256" spans="1:8" ht="26.25" customHeight="1" x14ac:dyDescent="0.2">
      <c r="A256" s="84" t="s">
        <v>761</v>
      </c>
      <c r="B256" s="176" t="s">
        <v>845</v>
      </c>
      <c r="C256" s="176" t="s">
        <v>251</v>
      </c>
      <c r="D256" s="176" t="s">
        <v>846</v>
      </c>
      <c r="E256" s="177" t="s">
        <v>278</v>
      </c>
      <c r="F256" s="177" t="s">
        <v>854</v>
      </c>
      <c r="G256" s="115">
        <v>4.9000000000000004</v>
      </c>
      <c r="H256" s="114">
        <f t="shared" si="23"/>
        <v>5.88</v>
      </c>
    </row>
    <row r="257" spans="1:11" x14ac:dyDescent="0.2">
      <c r="A257" s="84" t="s">
        <v>815</v>
      </c>
      <c r="B257" s="86"/>
      <c r="C257" s="86"/>
      <c r="D257" s="103"/>
      <c r="E257" s="86"/>
      <c r="F257" s="86"/>
      <c r="G257" s="97"/>
      <c r="H257" s="90"/>
    </row>
    <row r="258" spans="1:11" ht="35.25" customHeight="1" x14ac:dyDescent="0.2">
      <c r="A258" s="84" t="s">
        <v>816</v>
      </c>
      <c r="B258" s="98" t="s">
        <v>238</v>
      </c>
      <c r="C258" s="98" t="s">
        <v>767</v>
      </c>
      <c r="D258" s="99" t="s">
        <v>768</v>
      </c>
      <c r="E258" s="98"/>
      <c r="F258" s="122" t="s">
        <v>769</v>
      </c>
      <c r="G258" s="100"/>
      <c r="H258" s="123">
        <f>SUM(H259:H263)</f>
        <v>27511.699999999997</v>
      </c>
    </row>
    <row r="259" spans="1:11" ht="33" customHeight="1" x14ac:dyDescent="0.2">
      <c r="A259" s="84" t="s">
        <v>817</v>
      </c>
      <c r="B259" s="94">
        <v>94974</v>
      </c>
      <c r="C259" s="94" t="s">
        <v>16</v>
      </c>
      <c r="D259" s="101" t="s">
        <v>770</v>
      </c>
      <c r="E259" s="94" t="s">
        <v>40</v>
      </c>
      <c r="F259" s="113">
        <v>1.8</v>
      </c>
      <c r="G259" s="95">
        <v>379.14</v>
      </c>
      <c r="H259" s="114">
        <f t="shared" ref="H259:H263" si="24">TRUNC(F259*G259,2)</f>
        <v>682.45</v>
      </c>
    </row>
    <row r="260" spans="1:11" ht="40.5" customHeight="1" x14ac:dyDescent="0.2">
      <c r="A260" s="84" t="s">
        <v>818</v>
      </c>
      <c r="B260" s="94">
        <v>94964</v>
      </c>
      <c r="C260" s="94" t="s">
        <v>16</v>
      </c>
      <c r="D260" s="101" t="s">
        <v>347</v>
      </c>
      <c r="E260" s="94" t="s">
        <v>40</v>
      </c>
      <c r="F260" s="113">
        <v>17.600000000000001</v>
      </c>
      <c r="G260" s="95">
        <v>424.89</v>
      </c>
      <c r="H260" s="114">
        <f t="shared" si="24"/>
        <v>7478.06</v>
      </c>
    </row>
    <row r="261" spans="1:11" ht="32.25" customHeight="1" x14ac:dyDescent="0.2">
      <c r="A261" s="84" t="s">
        <v>819</v>
      </c>
      <c r="B261" s="94">
        <v>92873</v>
      </c>
      <c r="C261" s="94" t="s">
        <v>16</v>
      </c>
      <c r="D261" s="101" t="s">
        <v>115</v>
      </c>
      <c r="E261" s="94" t="s">
        <v>40</v>
      </c>
      <c r="F261" s="113">
        <v>17.600000000000001</v>
      </c>
      <c r="G261" s="95">
        <v>219.96</v>
      </c>
      <c r="H261" s="114">
        <f t="shared" si="24"/>
        <v>3871.29</v>
      </c>
    </row>
    <row r="262" spans="1:11" ht="42.75" customHeight="1" x14ac:dyDescent="0.2">
      <c r="A262" s="84" t="s">
        <v>820</v>
      </c>
      <c r="B262" s="94">
        <v>92264</v>
      </c>
      <c r="C262" s="94" t="s">
        <v>16</v>
      </c>
      <c r="D262" s="101" t="s">
        <v>771</v>
      </c>
      <c r="E262" s="94" t="s">
        <v>47</v>
      </c>
      <c r="F262" s="113">
        <v>70.099999999999994</v>
      </c>
      <c r="G262" s="115">
        <v>205.98</v>
      </c>
      <c r="H262" s="114">
        <f t="shared" si="24"/>
        <v>14439.19</v>
      </c>
    </row>
    <row r="263" spans="1:11" ht="42.75" customHeight="1" x14ac:dyDescent="0.2">
      <c r="A263" s="84" t="s">
        <v>821</v>
      </c>
      <c r="B263" s="94">
        <v>92776</v>
      </c>
      <c r="C263" s="94" t="s">
        <v>16</v>
      </c>
      <c r="D263" s="101" t="s">
        <v>772</v>
      </c>
      <c r="E263" s="94" t="s">
        <v>773</v>
      </c>
      <c r="F263" s="113">
        <v>59.3</v>
      </c>
      <c r="G263" s="115">
        <v>17.55</v>
      </c>
      <c r="H263" s="114">
        <f t="shared" si="24"/>
        <v>1040.71</v>
      </c>
    </row>
    <row r="264" spans="1:11" x14ac:dyDescent="0.2">
      <c r="A264" s="84" t="s">
        <v>822</v>
      </c>
      <c r="G264" s="170"/>
    </row>
    <row r="265" spans="1:11" ht="33" customHeight="1" x14ac:dyDescent="0.2">
      <c r="A265" s="84" t="s">
        <v>823</v>
      </c>
      <c r="B265" s="98" t="s">
        <v>238</v>
      </c>
      <c r="C265" s="98" t="s">
        <v>789</v>
      </c>
      <c r="D265" s="99" t="s">
        <v>790</v>
      </c>
      <c r="E265" s="98"/>
      <c r="F265" s="122" t="s">
        <v>769</v>
      </c>
      <c r="G265" s="100"/>
      <c r="H265" s="123">
        <f>SUM(H266:H276)</f>
        <v>5991.4500000000007</v>
      </c>
    </row>
    <row r="266" spans="1:11" ht="25.5" x14ac:dyDescent="0.2">
      <c r="A266" s="84" t="s">
        <v>824</v>
      </c>
      <c r="B266" s="94">
        <v>94974</v>
      </c>
      <c r="C266" s="94" t="s">
        <v>16</v>
      </c>
      <c r="D266" s="101" t="s">
        <v>770</v>
      </c>
      <c r="E266" s="94" t="s">
        <v>40</v>
      </c>
      <c r="F266" s="113">
        <f>49.33*0.05</f>
        <v>2.4664999999999999</v>
      </c>
      <c r="G266" s="95">
        <v>379.14</v>
      </c>
      <c r="H266" s="114">
        <f t="shared" ref="H266:H270" si="25">TRUNC(F266*G266,2)</f>
        <v>935.14</v>
      </c>
    </row>
    <row r="267" spans="1:11" ht="25.5" x14ac:dyDescent="0.2">
      <c r="A267" s="84" t="s">
        <v>825</v>
      </c>
      <c r="B267" s="94">
        <v>103670</v>
      </c>
      <c r="C267" s="94" t="s">
        <v>16</v>
      </c>
      <c r="D267" s="101" t="s">
        <v>115</v>
      </c>
      <c r="E267" s="94" t="s">
        <v>40</v>
      </c>
      <c r="F267" s="113">
        <f>F266</f>
        <v>2.4664999999999999</v>
      </c>
      <c r="G267" s="95">
        <v>219.96</v>
      </c>
      <c r="H267" s="114">
        <f t="shared" si="25"/>
        <v>542.53</v>
      </c>
    </row>
    <row r="268" spans="1:11" ht="55.5" customHeight="1" x14ac:dyDescent="0.2">
      <c r="A268" s="84" t="s">
        <v>826</v>
      </c>
      <c r="B268" s="94">
        <v>89478</v>
      </c>
      <c r="C268" s="94" t="s">
        <v>16</v>
      </c>
      <c r="D268" s="101" t="s">
        <v>791</v>
      </c>
      <c r="E268" s="94" t="s">
        <v>47</v>
      </c>
      <c r="F268" s="113">
        <v>25.04</v>
      </c>
      <c r="G268" s="115">
        <v>100.05</v>
      </c>
      <c r="H268" s="114">
        <f t="shared" si="25"/>
        <v>2505.25</v>
      </c>
      <c r="I268" s="87">
        <f>3.4+4.25+8</f>
        <v>15.65</v>
      </c>
      <c r="J268" s="87">
        <f>I268*2</f>
        <v>31.3</v>
      </c>
      <c r="K268" s="87">
        <f>J268*0.8</f>
        <v>25.040000000000003</v>
      </c>
    </row>
    <row r="269" spans="1:11" s="130" customFormat="1" ht="48.75" customHeight="1" x14ac:dyDescent="0.2">
      <c r="A269" s="84" t="s">
        <v>827</v>
      </c>
      <c r="B269" s="94" t="s">
        <v>801</v>
      </c>
      <c r="C269" s="94" t="s">
        <v>238</v>
      </c>
      <c r="D269" s="101" t="s">
        <v>803</v>
      </c>
      <c r="E269" s="94" t="s">
        <v>47</v>
      </c>
      <c r="F269" s="113">
        <f>0.4*16</f>
        <v>6.4</v>
      </c>
      <c r="G269" s="115">
        <v>121.3</v>
      </c>
      <c r="H269" s="114">
        <f t="shared" si="25"/>
        <v>776.32</v>
      </c>
    </row>
    <row r="270" spans="1:11" s="130" customFormat="1" ht="31.5" customHeight="1" x14ac:dyDescent="0.2">
      <c r="A270" s="84" t="s">
        <v>828</v>
      </c>
      <c r="B270" s="94">
        <v>37411</v>
      </c>
      <c r="C270" s="94" t="s">
        <v>16</v>
      </c>
      <c r="D270" s="101" t="s">
        <v>802</v>
      </c>
      <c r="E270" s="94" t="s">
        <v>47</v>
      </c>
      <c r="F270" s="113">
        <f>F269</f>
        <v>6.4</v>
      </c>
      <c r="G270" s="115">
        <v>24.04</v>
      </c>
      <c r="H270" s="114">
        <f t="shared" si="25"/>
        <v>153.85</v>
      </c>
    </row>
    <row r="271" spans="1:11" s="130" customFormat="1" ht="33.75" customHeight="1" x14ac:dyDescent="0.2">
      <c r="A271" s="84" t="s">
        <v>829</v>
      </c>
      <c r="B271" s="94">
        <v>5631</v>
      </c>
      <c r="C271" s="94" t="s">
        <v>16</v>
      </c>
      <c r="D271" s="101" t="s">
        <v>793</v>
      </c>
      <c r="E271" s="94" t="s">
        <v>337</v>
      </c>
      <c r="F271" s="113">
        <v>5.6000000000000001E-2</v>
      </c>
      <c r="G271" s="115">
        <v>217.31</v>
      </c>
      <c r="H271" s="114">
        <f t="shared" ref="H271:H274" si="26">TRUNC(F271*G271,2)</f>
        <v>12.16</v>
      </c>
    </row>
    <row r="272" spans="1:11" s="130" customFormat="1" ht="33" customHeight="1" x14ac:dyDescent="0.2">
      <c r="A272" s="84" t="s">
        <v>830</v>
      </c>
      <c r="B272" s="94">
        <v>5632</v>
      </c>
      <c r="C272" s="94" t="s">
        <v>16</v>
      </c>
      <c r="D272" s="101" t="s">
        <v>794</v>
      </c>
      <c r="E272" s="94" t="s">
        <v>317</v>
      </c>
      <c r="F272" s="113">
        <v>0.214</v>
      </c>
      <c r="G272" s="115">
        <v>81.48</v>
      </c>
      <c r="H272" s="114">
        <f t="shared" si="26"/>
        <v>17.43</v>
      </c>
    </row>
    <row r="273" spans="1:8" s="130" customFormat="1" ht="18.75" customHeight="1" x14ac:dyDescent="0.2">
      <c r="A273" s="84" t="s">
        <v>831</v>
      </c>
      <c r="B273" s="94">
        <v>88309</v>
      </c>
      <c r="C273" s="94" t="s">
        <v>16</v>
      </c>
      <c r="D273" s="101" t="s">
        <v>334</v>
      </c>
      <c r="E273" s="94" t="s">
        <v>795</v>
      </c>
      <c r="F273" s="113">
        <v>1.077</v>
      </c>
      <c r="G273" s="115">
        <v>19.940000000000001</v>
      </c>
      <c r="H273" s="114">
        <f t="shared" si="26"/>
        <v>21.47</v>
      </c>
    </row>
    <row r="274" spans="1:8" ht="18.75" customHeight="1" x14ac:dyDescent="0.2">
      <c r="A274" s="84" t="s">
        <v>832</v>
      </c>
      <c r="B274" s="94">
        <v>88316</v>
      </c>
      <c r="C274" s="94" t="s">
        <v>16</v>
      </c>
      <c r="D274" s="101" t="s">
        <v>268</v>
      </c>
      <c r="E274" s="94" t="s">
        <v>795</v>
      </c>
      <c r="F274" s="113">
        <v>0.53800000000000003</v>
      </c>
      <c r="G274" s="115">
        <v>16.3</v>
      </c>
      <c r="H274" s="114">
        <f t="shared" si="26"/>
        <v>8.76</v>
      </c>
    </row>
    <row r="275" spans="1:8" ht="25.5" x14ac:dyDescent="0.2">
      <c r="A275" s="84" t="s">
        <v>833</v>
      </c>
      <c r="B275" s="94">
        <v>4730</v>
      </c>
      <c r="C275" s="94" t="s">
        <v>16</v>
      </c>
      <c r="D275" s="101" t="s">
        <v>792</v>
      </c>
      <c r="E275" s="94" t="s">
        <v>40</v>
      </c>
      <c r="F275" s="131">
        <f>0.221*37.255</f>
        <v>8.2333550000000013</v>
      </c>
      <c r="G275" s="115">
        <v>63.11</v>
      </c>
      <c r="H275" s="114">
        <f t="shared" ref="H275" si="27">TRUNC(F275*G275,2)</f>
        <v>519.6</v>
      </c>
    </row>
    <row r="276" spans="1:8" ht="28.5" customHeight="1" x14ac:dyDescent="0.2">
      <c r="A276" s="84" t="s">
        <v>834</v>
      </c>
      <c r="B276" s="94">
        <v>95876</v>
      </c>
      <c r="C276" s="94" t="s">
        <v>16</v>
      </c>
      <c r="D276" s="101" t="s">
        <v>57</v>
      </c>
      <c r="E276" s="94" t="s">
        <v>145</v>
      </c>
      <c r="F276" s="131">
        <f>F275*30</f>
        <v>247.00065000000004</v>
      </c>
      <c r="G276" s="115">
        <v>2.02</v>
      </c>
      <c r="H276" s="114">
        <f t="shared" ref="H276" si="28">TRUNC(F276*G276,2)</f>
        <v>498.94</v>
      </c>
    </row>
  </sheetData>
  <mergeCells count="3">
    <mergeCell ref="E1:F1"/>
    <mergeCell ref="E2:F2"/>
    <mergeCell ref="B3:H3"/>
  </mergeCells>
  <phoneticPr fontId="31" type="noConversion"/>
  <pageMargins left="0.511811024" right="0.511811024" top="0.78740157499999996" bottom="0.78740157499999996" header="0.31496062000000002" footer="0.31496062000000002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B1" zoomScaleNormal="100" workbookViewId="0">
      <selection activeCell="V22" sqref="V22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"/>
  <sheetViews>
    <sheetView workbookViewId="0">
      <selection activeCell="B5" sqref="B5"/>
    </sheetView>
  </sheetViews>
  <sheetFormatPr defaultRowHeight="14.25" x14ac:dyDescent="0.2"/>
  <cols>
    <col min="1" max="1" width="14.75" customWidth="1"/>
    <col min="2" max="2" width="17.5" customWidth="1"/>
  </cols>
  <sheetData>
    <row r="1" spans="1:2" x14ac:dyDescent="0.2">
      <c r="A1" t="s">
        <v>836</v>
      </c>
      <c r="B1" s="171">
        <v>1943774.07</v>
      </c>
    </row>
    <row r="2" spans="1:2" x14ac:dyDescent="0.2">
      <c r="A2" t="s">
        <v>837</v>
      </c>
      <c r="B2" s="171">
        <f>4487059.11*0.79</f>
        <v>3544776.6969000003</v>
      </c>
    </row>
    <row r="3" spans="1:2" x14ac:dyDescent="0.2">
      <c r="A3" t="s">
        <v>838</v>
      </c>
      <c r="B3" s="171">
        <v>4951815.4000000004</v>
      </c>
    </row>
    <row r="4" spans="1:2" x14ac:dyDescent="0.2">
      <c r="A4" t="s">
        <v>839</v>
      </c>
      <c r="B4" s="171">
        <v>1450923.33</v>
      </c>
    </row>
    <row r="5" spans="1:2" x14ac:dyDescent="0.2">
      <c r="A5" t="s">
        <v>840</v>
      </c>
      <c r="B5" s="171">
        <v>1587963.23</v>
      </c>
    </row>
    <row r="6" spans="1:2" ht="24" customHeight="1" x14ac:dyDescent="0.2">
      <c r="A6" t="s">
        <v>841</v>
      </c>
      <c r="B6" s="172">
        <f>SUM(B1:B5)</f>
        <v>13479252.726900002</v>
      </c>
    </row>
    <row r="7" spans="1:2" ht="28.5" customHeight="1" x14ac:dyDescent="0.2">
      <c r="A7" s="173" t="s">
        <v>234</v>
      </c>
      <c r="B7" s="174">
        <v>13862030.539999999</v>
      </c>
    </row>
    <row r="8" spans="1:2" ht="24.75" customHeight="1" x14ac:dyDescent="0.2">
      <c r="A8" s="173" t="s">
        <v>842</v>
      </c>
      <c r="B8" s="172">
        <f>B7-B6</f>
        <v>382777.81309999712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Orçamento Sintético</vt:lpstr>
      <vt:lpstr>CFF</vt:lpstr>
      <vt:lpstr>BDI</vt:lpstr>
      <vt:lpstr>CPU´S</vt:lpstr>
      <vt:lpstr>Plan1</vt:lpstr>
      <vt:lpstr>Plan2</vt:lpstr>
      <vt:lpstr>CPU´S!Area_de_impressao</vt:lpstr>
      <vt:lpstr>'Orçamento Sintético'!Area_de_impressao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Aline</cp:lastModifiedBy>
  <cp:revision>0</cp:revision>
  <cp:lastPrinted>2022-07-26T12:47:31Z</cp:lastPrinted>
  <dcterms:created xsi:type="dcterms:W3CDTF">2021-07-12T14:49:57Z</dcterms:created>
  <dcterms:modified xsi:type="dcterms:W3CDTF">2025-06-25T18:36:39Z</dcterms:modified>
</cp:coreProperties>
</file>