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Y:\1. Projetos\Sidrolândia\15. CEPEGE convenio federal\01. ATUALIZADO\CEPEGE ASSINADOS\ORÇAMENTO\"/>
    </mc:Choice>
  </mc:AlternateContent>
  <xr:revisionPtr revIDLastSave="0" documentId="8_{878F2AA8-FA44-4ABF-849A-84C6408824A4}" xr6:coauthVersionLast="47" xr6:coauthVersionMax="47" xr10:uidLastSave="{00000000-0000-0000-0000-000000000000}"/>
  <bookViews>
    <workbookView xWindow="-120" yWindow="-120" windowWidth="38640" windowHeight="15840" xr2:uid="{9C132609-26A3-4AA1-8059-E2D1D0D94F6A}"/>
  </bookViews>
  <sheets>
    <sheet name="PO-BM" sheetId="1" r:id="rId1"/>
    <sheet name="CFF-BM" sheetId="2" r:id="rId2"/>
  </sheets>
  <externalReferences>
    <externalReference r:id="rId3"/>
  </externalReferences>
  <definedNames>
    <definedName name="ACOMPANHAMENTO">[1]MENU!$J$4</definedName>
    <definedName name="AdmLocal">[1]CÁLCULO!$A$11</definedName>
    <definedName name="AUTOEVENTO">[1]CÁLCULO!$A$12</definedName>
    <definedName name="BDI.Opcao">[1]DADOS!$C$18</definedName>
    <definedName name="BDI.TipoObra">[1]BDI!$A$138:$A$146</definedName>
    <definedName name="BDI_1.Título">[1]BDI!$J$14</definedName>
    <definedName name="BDI_2.Título">[1]BDI!$J$54</definedName>
    <definedName name="BDI_3.Título">[1]BDI!$J$94</definedName>
    <definedName name="BM.AFAcumulado">[1]BM!$R1</definedName>
    <definedName name="BM.AFAnterior">[1]BM!$Q1</definedName>
    <definedName name="BM.MaxMed">IF(RegimeExecucao="Global",1,[1]BM!$G1)</definedName>
    <definedName name="BM.MEDAcumulado">IF(COUNTIF([1]BM!$AB$13:$AM$13,BM.medicao)&gt;0,SUM(OFFSET([1]BM!$AB1,0,0,1,MATCH(BM.medicao,[1]BM!$AB$13:$AM$13,0))),0)</definedName>
    <definedName name="BM.MEDAnterior">IF(COUNTIF([1]BM!$AB$13:$AM$13,BM.medicao-1)&gt;0,SUM(OFFSET([1]BM!$AB1,0,0,1,MATCH(BM.medicao-1,[1]BM!$AB$13:$AM$13,0))),0)</definedName>
    <definedName name="BM.medicao">OFFSET([1]BM!$O$7,1,0)</definedName>
    <definedName name="BM.MinMed">IF(RegimeExecucao="Global",-1,-[1]BM!$G1)</definedName>
    <definedName name="CAIXA.Modo">[1]BM!$A$3</definedName>
    <definedName name="CÁLCULO.FrentesPreenchidas">[1]CÁLCULO!$M$1</definedName>
    <definedName name="CÁLCULO.NúmeroDeEventos">IF(AUTOEVENTO&lt;&gt;"manual",MAX([1]CÁLCULO!$M$15:$M$152),MAX(OFFSET([1]EVENTOS!$C$1:$C$65,1,0)))</definedName>
    <definedName name="CÁLCULO.NúmeroDeFrentes">COLUMN([1]CÁLCULO!$AA$15)-COLUMN([1]CÁLCULO!$Q$15)</definedName>
    <definedName name="CÁLCULO.TotalAdmLocal">IF(AUTOEVENTO="manual",SUMIF([1]CÁLCULO!$M$15:$M$152,1,[1]ORÇAMENTO!$X$15:$X$152),0)</definedName>
    <definedName name="CRONO.LinhasNecessarias">COUNTIF([1]QCI!$B$13:$B$24,"Manual")+COUNTIF([1]QCI!$B$13:$B$24,"SemiAuto")+COUNT(ORÇAMENTO.ListaCrono)</definedName>
    <definedName name="CRONO.MaxParc">[1]CRONO!$H1048576+[1]CRONO!A1</definedName>
    <definedName name="CRONO.NivelExibicao">[1]CRONO!$H$10</definedName>
    <definedName name="CRONO.ParcelaFinal">MATCH(100%,[1]CRONO!$U$74:$AG$74,0)</definedName>
    <definedName name="CRONOPLE.Erro">[1]CRONOPLE!$B$6</definedName>
    <definedName name="CRONOPLE.ValorDoEvento">SUMIF([1]CÁLCULO!$M$15:$M$152,[1]CRONOPLE!$B1,OFFSET([1]CÁLCULO!$AA$15:$AA$152,0,[1]CRONOPLE!A$12))</definedName>
    <definedName name="DESONERACAO">IF(OR(Import.Desoneracao="DESONERADO",Import.Desoneracao="SIM"),"SIM","NÃO")</definedName>
    <definedName name="EVENTOS.firstrow">[1]EVENTOS!$15:$15</definedName>
    <definedName name="EVENTOS.Lista">[1]EVENTOS!$C$15:OFFSET([1]EVENTOS!$C$65,-1,0)</definedName>
    <definedName name="EVENTOS.ListaValidacao">[1]EVENTOS!$B$15:OFFSET([1]EVENTOS!$B$65,-1,0)</definedName>
    <definedName name="Excel_BuiltIn_Database">TEXT(Import.DataBase,"mm-aaaa")</definedName>
    <definedName name="Import.Apelido">[1]DADOS!$C$16</definedName>
    <definedName name="Import.BDI.Tipo1">[1]BDI!$J$17</definedName>
    <definedName name="Import.BDI.Tipo2">[1]BDI!$J$57</definedName>
    <definedName name="Import.BDI.Tipo3">[1]BDI!$J$97</definedName>
    <definedName name="Import.BMAFAcumulado">OFFSET([1]BM!$R$15,1,0):OFFSET([1]BM!$R$152,-1,0)</definedName>
    <definedName name="Import.CNPJ">[1]DADOS!$C$39</definedName>
    <definedName name="Import.Código">OFFSET([1]ORÇAMENTO!$Q$15,1,0):OFFSET([1]ORÇAMENTO!$Q$152,-1,0)</definedName>
    <definedName name="Import.Contrapartida">[1]DADOS!$C$10</definedName>
    <definedName name="Import.CPMaxPerc">[1]DADOS!$C$13</definedName>
    <definedName name="Import.CPMinAbsoluta">[1]DADOS!$C$12</definedName>
    <definedName name="Import.CPMinPerc">[1]DADOS!$C$11</definedName>
    <definedName name="Import.CR">[1]DADOS!$C$7</definedName>
    <definedName name="Import.CRONOPLE">OFFSET([1]CRONOPLE!$F$15,1,1):OFFSET([1]CRONOPLE!$AF$65,-1,-1)</definedName>
    <definedName name="Import.CTEF">[1]DADOS!$C$37</definedName>
    <definedName name="Import.CustoUnitário">OFFSET([1]ORÇAMENTO!$U$15,1,0):OFFSET([1]ORÇAMENTO!$U$152,-1,0)</definedName>
    <definedName name="Import.DataBase">OFFSET([1]DADOS!$D$19,0,-1)</definedName>
    <definedName name="Import.DataBaseLicit">OFFSET([1]DADOS!$D$41,0,-1)</definedName>
    <definedName name="Import.DataFechaRRE">[1]DADOS!$C$48</definedName>
    <definedName name="Import.DataInicioObra">[1]DADOS!$C$47</definedName>
    <definedName name="Import.DataPreenchimento">OFFSET([1]DADOS!$D$25,0,-1)</definedName>
    <definedName name="Import.DescLote">[1]DADOS!$C$17</definedName>
    <definedName name="Import.Descrição">OFFSET([1]ORÇAMENTO!$R$15,1,0):OFFSET([1]ORÇAMENTO!$R$152,-1,0)</definedName>
    <definedName name="Import.Desoneracao">OFFSET([1]DADOS!$D$18,0,-1)</definedName>
    <definedName name="Import.empresa">[1]DADOS!$C$38</definedName>
    <definedName name="Import.EventoAdmLocal">[1]CRONOPLE!$B$8</definedName>
    <definedName name="Import.Eventos.Nível">[1]EVENTOS!$C$8</definedName>
    <definedName name="Import.Eventos.Nomes">OFFSET([1]EVENTOS!$D$15,1,0):OFFSET([1]EVENTOS!$D$65,-1,0)</definedName>
    <definedName name="Import.Fonte">OFFSET([1]ORÇAMENTO!$P$15,1,0):OFFSET([1]ORÇAMENTO!$P$152,-1,0)</definedName>
    <definedName name="Import.FrenteDeObra">[1]CÁLCULO!$Q$12:OFFSET([1]CÁLCULO!$AA$12,0,-1)</definedName>
    <definedName name="Import.MacrosserviçoAdmLocal">[1]CRONO!$H$79</definedName>
    <definedName name="Import.Município">[1]DADOS!$C$6</definedName>
    <definedName name="Import.Nível">OFFSET([1]ORÇAMENTO!$M$15,1,0):OFFSET([1]ORÇAMENTO!$M$152,-1,0)</definedName>
    <definedName name="Import.Ofício.Num">[1]OFÍCIO!$C$6</definedName>
    <definedName name="Import.OpcaoBDI">OFFSET([1]ORÇAMENTO!$V$15,1,0):OFFSET([1]ORÇAMENTO!$V$152,-1,0)</definedName>
    <definedName name="Import.ORÇAMENTO.DivRecurso">OFFSET([1]ORÇAMENTO!$Y$15,1,0):OFFSET([1]ORÇAMENTO!$Y$152,-1,0)</definedName>
    <definedName name="Import.PLE">OFFSET([1]PLE!$G$15,1,1):OFFSET([1]PLE!$AG$65,-1,-1)</definedName>
    <definedName name="Import.PLQ">OFFSET([1]CÁLCULO!$P$15,1,1):OFFSET([1]CÁLCULO!$AA$152,-1,-1)</definedName>
    <definedName name="Import.PLQ.MemCalc">OFFSET([1]CÁLCULO!$I$15,1,0):OFFSET([1]CÁLCULO!$I$152,-1,0)</definedName>
    <definedName name="Import.PLQ.nAgrupEvent">OFFSET([1]CÁLCULO!$K$15,1,0):OFFSET([1]CÁLCULO!$K$152,-1,0)</definedName>
    <definedName name="Import.Proponente">[1]DADOS!$C$5</definedName>
    <definedName name="Import.QCI.Divisao">OFFSET([1]QCI!$V$13,1,0):OFFSET([1]QCI!$V$24,-1,0)</definedName>
    <definedName name="Import.QCI.ItemInv">OFFSET([1]QCI!$E$13,1,0):OFFSET([1]QCI!$E$24,-1,0)</definedName>
    <definedName name="Import.QCI.Qtde">OFFSET([1]QCI!$I$13,1,0):OFFSET([1]QCI!$I$24,-1,0)</definedName>
    <definedName name="Import.QCI.Situacao">OFFSET([1]QCI!$H$13,1,0):OFFSET([1]QCI!$H$24,-1,0)</definedName>
    <definedName name="Import.QCI.SubItemInv">OFFSET([1]QCI!$F$13,1,0):OFFSET([1]QCI!$F$24,-1,0)</definedName>
    <definedName name="Import.QCICP">OFFSET([1]QCI!$W$13,1,0):OFFSET([1]QCI!$W$24,-1,0)</definedName>
    <definedName name="Import.QCIDesc">OFFSET([1]QCI!$R$13,1,0):OFFSET([1]QCI!$R$24,-1,0)</definedName>
    <definedName name="Import.QCIInv">OFFSET([1]QCI!$U$13,1,0):OFFSET([1]QCI!$U$24,-1,0)</definedName>
    <definedName name="Import.QCILote">OFFSET([1]QCI!$T$13,1,0):OFFSET([1]QCI!$T$24,-1,0)</definedName>
    <definedName name="Import.QCIOutros">OFFSET([1]QCI!$X$13,1,0):OFFSET([1]QCI!$X$24,-1,0)</definedName>
    <definedName name="Import.Quantidade">OFFSET([1]ORÇAMENTO!$AJ$15,1,0):OFFSET([1]ORÇAMENTO!$AJ$152,-1,0)</definedName>
    <definedName name="import.recurso">[1]DADOS!$C$4</definedName>
    <definedName name="Import.RegimeExecução">OFFSET([1]DADOS!$D$40,0,-1)</definedName>
    <definedName name="Import.Repasse">[1]DADOS!$C$9</definedName>
    <definedName name="Import.RespFiscalização">[1]DADOS!$C$51:$C$54</definedName>
    <definedName name="Import.RespOrçamento">[1]DADOS!$C$22:$C$24</definedName>
    <definedName name="Import.SICONV">[1]DADOS!$C$8</definedName>
    <definedName name="Import.TipoArredondamento">[1]DADOS!$C$31</definedName>
    <definedName name="Import.TransfereGOV">[1]DADOS!$C$8</definedName>
    <definedName name="Import.Unidade">OFFSET([1]ORÇAMENTO!$S$15,1,0):OFFSET([1]ORÇAMENTO!$S$152,-1,0)</definedName>
    <definedName name="Import.UnitarioLicitado">OFFSET([1]ORÇAMENTO!$AL$15,1,0):OFFSET([1]ORÇAMENTO!$AL$152,-1,0)</definedName>
    <definedName name="ListaTgov.Unidades">[1]DADOS!$AQ$3:$AQ$220</definedName>
    <definedName name="MENU.CRONO">OFFSET([1]CRONO!$U$11,1,0)</definedName>
    <definedName name="MENU.Import.Form.PLQ">[1]MENU!$K$2</definedName>
    <definedName name="MENU.Import.Form.PreçoUnit">[1]MENU!$K$1</definedName>
    <definedName name="NumEventos" localSheetId="0">COUNT(OFFSET(Eventos,0,0,,1))</definedName>
    <definedName name="NumEventos">COUNT(OFFSET(Eventos,0,0,,1))</definedName>
    <definedName name="Objeto">[1]MENU!$J$1</definedName>
    <definedName name="ORÇAMENTO.BancoRef">[1]ORÇAMENTO!$F$8</definedName>
    <definedName name="ORÇAMENTO.CodBarra">IF(ORÇAMENTO.Fonte="Sinapi",SUBSTITUTE(SUBSTITUTE(ORÇAMENTO.Codigo,"/00","/"),"/0","/"),ORÇAMENTO.Codigo)</definedName>
    <definedName name="ORÇAMENTO.Codigo">[1]ORÇAMENTO!$Q1</definedName>
    <definedName name="ORÇAMENTO.CustoUnitario">ROUND([1]ORÇAMENTO!$U1,15-13*[1]ORÇAMENTO!$AF$8)</definedName>
    <definedName name="ORÇAMENTO.Descricao">[1]ORÇAMENTO!$R1</definedName>
    <definedName name="ORÇAMENTO.Fonte">[1]ORÇAMENTO!$P1</definedName>
    <definedName name="ORÇAMENTO.ListaCrono">OFFSET([1]ORÇAMENTO!$AD$15,1,0):OFFSET([1]ORÇAMENTO!$AD$152,-1,0)</definedName>
    <definedName name="ORÇAMENTO.MáximoListaCrono">MAX(ORÇAMENTO.ListaCrono)</definedName>
    <definedName name="ORÇAMENTO.Nivel">[1]ORÇAMENTO!$M1</definedName>
    <definedName name="ORÇAMENTO.OpcaoBDI">[1]ORÇAMENTO!$V1</definedName>
    <definedName name="ORÇAMENTO.PasteFormat1">OFFSET([1]ORÇAMENTO!$P$15,1,0):OFFSET([1]ORÇAMENTO!$S$152,-1,0)</definedName>
    <definedName name="ORÇAMENTO.PasteFormat2">OFFSET([1]ORÇAMENTO!$U$15,1,0):OFFSET([1]ORÇAMENTO!$V$152,-1,0)</definedName>
    <definedName name="ORÇAMENTO.PrecoUnitarioLicitado">[1]ORÇAMENTO!$AL1</definedName>
    <definedName name="ORÇAMENTO.RangeQuant">OFFSET([1]ORÇAMENTO!$T$15,1,0):OFFSET([1]ORÇAMENTO!$T$152,-1,0)</definedName>
    <definedName name="ORÇAMENTO.SumCPMANUAL">SUMIF([1]ORÇAMENTO!$Z$15:$Z$152,"CP",[1]ORÇAMENTO!$AA$15:$AA$152)</definedName>
    <definedName name="ORÇAMENTO.SumINVMANUAL">SUMIF([1]ORÇAMENTO!$Z$15:$Z$152,"RP",[1]ORÇAMENTO!$X$15:$X$152)+SUMIF([1]ORÇAMENTO!$Z$15:$Z$152,"CP",[1]ORÇAMENTO!$X$15:$X$152)+SUMIF([1]ORÇAMENTO!$Z$15:$Z$152,"OU",[1]ORÇAMENTO!$X$15:$X$152)</definedName>
    <definedName name="ORÇAMENTO.SumOUTROSMANUAL">SUMIF([1]ORÇAMENTO!$Z$15:$Z$152,"OU",[1]ORÇAMENTO!$AB$15:$AB$152)</definedName>
    <definedName name="ORÇAMENTO.SumREPASSEMANUAL">ORÇAMENTO.SumINVMANUAL-ORÇAMENTO.SumCPMANUAL-ORÇAMENTO.SumOUTROSMANUAL</definedName>
    <definedName name="ORÇAMENTO.Unidade">[1]ORÇAMENTO!$S1</definedName>
    <definedName name="PLE.firstrow">[1]PLE!$15:$15</definedName>
    <definedName name="PLE.lastrow">[1]PLE!$65:$65</definedName>
    <definedName name="PLE.Medicao">[1]PLE!$J$9</definedName>
    <definedName name="PLE.ValorDoEvento">SUMIF([1]CÁLCULO!$M$15:$M$152,[1]PLE!$B1,OFFSET([1]CÁLCULO!$AA$15:$AA$152,0,[1]PLE!A$12))</definedName>
    <definedName name="PO.ValoresBDI">OFFSET([1]ORÇAMENTO!$AH$15,1,0):OFFSET([1]ORÇAMENTO!$AH$152,-1,0)</definedName>
    <definedName name="QCI.CPManual">ROUND([1]QCI!$W1,2)</definedName>
    <definedName name="QCI.DescManual">[1]QCI!$R1</definedName>
    <definedName name="QCI.Divisao">[1]QCI!$V1</definedName>
    <definedName name="QCI.ExisteManual">(COUNTIF([1]QCI!$B$13:$B$24,"Manual")+COUNTIF([1]QCI!$B$13:$B$24,"SemiAuto"))&gt;0</definedName>
    <definedName name="QCI.InvManual">ROUND([1]QCI!$U1,2)</definedName>
    <definedName name="QCI.ItemInvestimento">OFFSET([1]DADOS!$G$2,1,0,COUNTA([1]DADOS!$G:$G)-1,1)</definedName>
    <definedName name="QCI.LoteManual">[1]QCI!$T1</definedName>
    <definedName name="QCI.MaxCPManual">[1]QCI!$O1-[1]QCI!$X1</definedName>
    <definedName name="QCI.MaxOUManual">[1]QCI!$O1-[1]QCI!$W1</definedName>
    <definedName name="QCI.OutrosManual">ROUND([1]QCI!$X1,2)</definedName>
    <definedName name="QCI.SubItemInvestimento">OFFSET([1]DADOS!$A$2,1,MATCH([1]QCI!$E1,[1]DADOS!$2:$2,0)-1,INDEX([1]DADOS!$2:$2,MATCH([1]QCI!$E1,[1]DADOS!$2:$2,0)+1))</definedName>
    <definedName name="QCI.SumCPMANUAL">SUMIF([1]QCI!$B$13:$B$24,"Manual",[1]QCI!$AA$13:$AA$24)</definedName>
    <definedName name="QCI.SumINVMANUAL">SUMIF([1]QCI!$B$13:$B$24,"Manual",[1]QCI!$O$13:$O$24)</definedName>
    <definedName name="QCI.SumOUTROSMANUAL">SUMIF([1]QCI!$B$13:$B$24,"Manual",[1]QCI!$AB$13:$AB$24)</definedName>
    <definedName name="QCI.SumREPASSEMANUAL">QCI.SumINVMANUAL-QCI.CPManual-QCI.OutrosManual</definedName>
    <definedName name="REFERENCIA.Descricao">IF(ISNUMBER([1]ORÇAMENTO!$AF1),OFFSET(INDIRECT(ORÇAMENTO.BancoRef),[1]ORÇAMENTO!$AF1-1,3,1),[1]ORÇAMENTO!$AF1)</definedName>
    <definedName name="REFERENCIA.Desonerado">IF(ISNUMBER([1]ORÇAMENTO!$AF1),VALUE(OFFSET(INDIRECT(ORÇAMENTO.BancoRef),[1]ORÇAMENTO!$AF1-1,5,1)),0)</definedName>
    <definedName name="REFERENCIA.NaoDesonerado">IF(ISNUMBER([1]ORÇAMENTO!$AF1),VALUE(OFFSET(INDIRECT(ORÇAMENTO.BancoRef),[1]ORÇAMENTO!$AF1-1,6,1)),0)</definedName>
    <definedName name="REFERENCIA.Unidade">IF(ISNUMBER([1]ORÇAMENTO!$AF1),OFFSET(INDIRECT(ORÇAMENTO.BancoRef),[1]ORÇAMENTO!$AF1-1,4,1),"-")</definedName>
    <definedName name="RegimeExecucao">IF(OR(Import.RegimeExecução="",Import.RegimeExecução="Empreitada por Preço Global",Import.RegimeExecução="Empreitada Integral"),"Global","Unitário")</definedName>
    <definedName name="RRE.MaxCPAcum">[1]RRE!$AD$26</definedName>
    <definedName name="RRE.MaxCPAnt">[1]RRE!$AC$26</definedName>
    <definedName name="RRE.MaxOUAcum">[1]RRE!$AD$27</definedName>
    <definedName name="RRE.MaxOUAnt">[1]RRE!$AC$27</definedName>
    <definedName name="RRE.Numero">OFFSET([1]RRE!$O$7,0,1)</definedName>
    <definedName name="RRE.VIMeta">[1]RRE!$L1</definedName>
    <definedName name="SENHAGT">"PM3CAIXA"</definedName>
    <definedName name="SomaAgrup">SUMIF(OFFSET([1]ORÇAMENTO!$C1,1,0,[1]ORÇAMENTO!$D1),"S",OFFSET([1]ORÇAMENTO!A1,1,0,[1]ORÇAMENTO!$D1))</definedName>
    <definedName name="SomaAgrupBM">SUMIF(OFFSET([1]BM!$A1,1,0,[1]BM!$B1),"S",OFFSET([1]BM!A1,1,0,[1]BM!$B1))</definedName>
    <definedName name="TIPOORCAMENTO">IF(VALUE([1]MENU!$O$3)=2,"Licitado","Proposto")</definedName>
    <definedName name="Versao">[1]MENU!$J$2</definedName>
    <definedName name="VTOTAL1">ROUND([1]ORÇAMENTO!$T1*[1]ORÇAMENTO!$W1,15-13*[1]ORÇAMENTO!$AF$11)</definedName>
    <definedName name="VTOTALBM">IF([1]BM!$I1=0,0,CHOOSE(MATCH(RegimeExecucao,{"Global","Unitário"},0),ROUND(ROUND([1]BM!XFB1,15-13*[1]BM!$A$9)/100*[1]BM!$I1,15-13*[1]ORÇAMENTO!$AF$11),ROUND(ROUND([1]BM!XFB1,15-13*[1]BM!$A$9)*ROUND([1]BM!$H1,15-13*[1]ORÇAMENTO!$AF$10),15-13*[1]ORÇAMENTO!$AF$11)))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138" i="1" l="1"/>
  <c r="Q137" i="1"/>
  <c r="Q136" i="1"/>
  <c r="L136" i="1"/>
  <c r="K136" i="1"/>
  <c r="F136" i="1"/>
  <c r="Q135" i="1"/>
  <c r="L135" i="1"/>
  <c r="K135" i="1"/>
  <c r="F135" i="1"/>
  <c r="L134" i="1"/>
  <c r="Q133" i="1"/>
  <c r="L133" i="1"/>
  <c r="K133" i="1"/>
  <c r="F133" i="1"/>
  <c r="Q132" i="1"/>
  <c r="L132" i="1"/>
  <c r="K132" i="1"/>
  <c r="F132" i="1"/>
  <c r="Q131" i="1"/>
  <c r="L131" i="1"/>
  <c r="K131" i="1"/>
  <c r="F131" i="1"/>
  <c r="L130" i="1"/>
  <c r="Q129" i="1"/>
  <c r="L129" i="1"/>
  <c r="K129" i="1"/>
  <c r="F129" i="1"/>
  <c r="L128" i="1"/>
  <c r="Q127" i="1"/>
  <c r="L127" i="1"/>
  <c r="K127" i="1"/>
  <c r="F127" i="1"/>
  <c r="L126" i="1"/>
  <c r="Q125" i="1"/>
  <c r="L125" i="1"/>
  <c r="K125" i="1"/>
  <c r="F125" i="1"/>
  <c r="Q124" i="1"/>
  <c r="L124" i="1"/>
  <c r="K124" i="1"/>
  <c r="F124" i="1"/>
  <c r="Q123" i="1"/>
  <c r="L123" i="1"/>
  <c r="K123" i="1"/>
  <c r="F123" i="1"/>
  <c r="Q122" i="1"/>
  <c r="L122" i="1"/>
  <c r="K122" i="1"/>
  <c r="F122" i="1"/>
  <c r="Q121" i="1"/>
  <c r="L121" i="1"/>
  <c r="K121" i="1"/>
  <c r="F121" i="1"/>
  <c r="Q120" i="1"/>
  <c r="L120" i="1"/>
  <c r="K120" i="1"/>
  <c r="F120" i="1"/>
  <c r="Q119" i="1"/>
  <c r="L119" i="1"/>
  <c r="K119" i="1"/>
  <c r="F119" i="1"/>
  <c r="Q118" i="1"/>
  <c r="L118" i="1"/>
  <c r="K118" i="1"/>
  <c r="F118" i="1"/>
  <c r="Q117" i="1"/>
  <c r="L117" i="1"/>
  <c r="K117" i="1"/>
  <c r="F117" i="1"/>
  <c r="Q116" i="1"/>
  <c r="L116" i="1"/>
  <c r="K116" i="1"/>
  <c r="F116" i="1"/>
  <c r="Q115" i="1"/>
  <c r="L115" i="1"/>
  <c r="K115" i="1"/>
  <c r="F115" i="1"/>
  <c r="Q114" i="1"/>
  <c r="L114" i="1"/>
  <c r="K114" i="1"/>
  <c r="F114" i="1"/>
  <c r="Q113" i="1"/>
  <c r="L113" i="1"/>
  <c r="K113" i="1"/>
  <c r="F113" i="1"/>
  <c r="Q112" i="1"/>
  <c r="L112" i="1"/>
  <c r="K112" i="1"/>
  <c r="F112" i="1"/>
  <c r="Q111" i="1"/>
  <c r="L111" i="1"/>
  <c r="K111" i="1"/>
  <c r="F111" i="1"/>
  <c r="Q110" i="1"/>
  <c r="L110" i="1"/>
  <c r="K110" i="1"/>
  <c r="F110" i="1"/>
  <c r="Q109" i="1"/>
  <c r="L109" i="1"/>
  <c r="K109" i="1"/>
  <c r="F109" i="1"/>
  <c r="L108" i="1"/>
  <c r="Q107" i="1"/>
  <c r="L107" i="1"/>
  <c r="K107" i="1"/>
  <c r="F107" i="1"/>
  <c r="Q106" i="1"/>
  <c r="L106" i="1"/>
  <c r="K106" i="1"/>
  <c r="F106" i="1"/>
  <c r="Q105" i="1"/>
  <c r="L105" i="1"/>
  <c r="K105" i="1"/>
  <c r="F105" i="1"/>
  <c r="Q104" i="1"/>
  <c r="L104" i="1"/>
  <c r="K104" i="1"/>
  <c r="F104" i="1"/>
  <c r="Q103" i="1"/>
  <c r="L103" i="1"/>
  <c r="K103" i="1"/>
  <c r="F103" i="1"/>
  <c r="Q102" i="1"/>
  <c r="L102" i="1"/>
  <c r="K102" i="1"/>
  <c r="F102" i="1"/>
  <c r="Q101" i="1"/>
  <c r="L101" i="1"/>
  <c r="K101" i="1"/>
  <c r="F101" i="1"/>
  <c r="Q100" i="1"/>
  <c r="L100" i="1"/>
  <c r="K100" i="1"/>
  <c r="F100" i="1"/>
  <c r="Q99" i="1"/>
  <c r="L99" i="1"/>
  <c r="K99" i="1"/>
  <c r="F99" i="1"/>
  <c r="Q98" i="1"/>
  <c r="L98" i="1"/>
  <c r="K98" i="1"/>
  <c r="F98" i="1"/>
  <c r="Q97" i="1"/>
  <c r="L97" i="1"/>
  <c r="K97" i="1"/>
  <c r="F97" i="1"/>
  <c r="Q96" i="1"/>
  <c r="L96" i="1"/>
  <c r="K96" i="1"/>
  <c r="F96" i="1"/>
  <c r="Q95" i="1"/>
  <c r="L95" i="1"/>
  <c r="K95" i="1"/>
  <c r="F95" i="1"/>
  <c r="Q94" i="1"/>
  <c r="L94" i="1"/>
  <c r="K94" i="1"/>
  <c r="F94" i="1"/>
  <c r="Q93" i="1"/>
  <c r="L93" i="1"/>
  <c r="K93" i="1"/>
  <c r="F93" i="1"/>
  <c r="Q92" i="1"/>
  <c r="L92" i="1"/>
  <c r="K92" i="1"/>
  <c r="F92" i="1"/>
  <c r="Q91" i="1"/>
  <c r="L91" i="1"/>
  <c r="K91" i="1"/>
  <c r="F91" i="1"/>
  <c r="Q90" i="1"/>
  <c r="L90" i="1"/>
  <c r="K90" i="1"/>
  <c r="F90" i="1"/>
  <c r="Q89" i="1"/>
  <c r="L89" i="1"/>
  <c r="K89" i="1"/>
  <c r="F89" i="1"/>
  <c r="Q88" i="1"/>
  <c r="L88" i="1"/>
  <c r="K88" i="1"/>
  <c r="F88" i="1"/>
  <c r="Q87" i="1"/>
  <c r="L87" i="1"/>
  <c r="K87" i="1"/>
  <c r="F87" i="1"/>
  <c r="Q86" i="1"/>
  <c r="L86" i="1"/>
  <c r="K86" i="1"/>
  <c r="F86" i="1"/>
  <c r="Q85" i="1"/>
  <c r="L85" i="1"/>
  <c r="K85" i="1"/>
  <c r="F85" i="1"/>
  <c r="Q84" i="1"/>
  <c r="L84" i="1"/>
  <c r="K84" i="1"/>
  <c r="F84" i="1"/>
  <c r="Q83" i="1"/>
  <c r="L83" i="1"/>
  <c r="K83" i="1"/>
  <c r="F83" i="1"/>
  <c r="Q82" i="1"/>
  <c r="L82" i="1"/>
  <c r="K82" i="1"/>
  <c r="F82" i="1"/>
  <c r="Q81" i="1"/>
  <c r="L81" i="1"/>
  <c r="K81" i="1"/>
  <c r="F81" i="1"/>
  <c r="Q80" i="1"/>
  <c r="L80" i="1"/>
  <c r="K80" i="1"/>
  <c r="F80" i="1"/>
  <c r="Q79" i="1"/>
  <c r="L79" i="1"/>
  <c r="K79" i="1"/>
  <c r="F79" i="1"/>
  <c r="Q78" i="1"/>
  <c r="L78" i="1"/>
  <c r="K78" i="1"/>
  <c r="F78" i="1"/>
  <c r="Q77" i="1"/>
  <c r="L77" i="1"/>
  <c r="K77" i="1"/>
  <c r="F77" i="1"/>
  <c r="Q76" i="1"/>
  <c r="L76" i="1"/>
  <c r="K76" i="1"/>
  <c r="F76" i="1"/>
  <c r="Q75" i="1"/>
  <c r="L75" i="1"/>
  <c r="K75" i="1"/>
  <c r="F75" i="1"/>
  <c r="Q74" i="1"/>
  <c r="L74" i="1"/>
  <c r="K74" i="1"/>
  <c r="F74" i="1"/>
  <c r="L73" i="1"/>
  <c r="Q72" i="1"/>
  <c r="L72" i="1"/>
  <c r="K72" i="1"/>
  <c r="F72" i="1"/>
  <c r="Q71" i="1"/>
  <c r="L71" i="1"/>
  <c r="K71" i="1"/>
  <c r="F71" i="1"/>
  <c r="Q70" i="1"/>
  <c r="L70" i="1"/>
  <c r="K70" i="1"/>
  <c r="F70" i="1"/>
  <c r="Q69" i="1"/>
  <c r="L69" i="1"/>
  <c r="K69" i="1"/>
  <c r="F69" i="1"/>
  <c r="Q68" i="1"/>
  <c r="L68" i="1"/>
  <c r="K68" i="1"/>
  <c r="F68" i="1"/>
  <c r="Q67" i="1"/>
  <c r="L67" i="1"/>
  <c r="K67" i="1"/>
  <c r="F67" i="1"/>
  <c r="Q66" i="1"/>
  <c r="L66" i="1"/>
  <c r="K66" i="1"/>
  <c r="F66" i="1"/>
  <c r="Q65" i="1"/>
  <c r="L65" i="1"/>
  <c r="K65" i="1"/>
  <c r="F65" i="1"/>
  <c r="Q64" i="1"/>
  <c r="L64" i="1"/>
  <c r="K64" i="1"/>
  <c r="F64" i="1"/>
  <c r="Q63" i="1"/>
  <c r="L63" i="1"/>
  <c r="K63" i="1"/>
  <c r="F63" i="1"/>
  <c r="L62" i="1"/>
  <c r="Q61" i="1"/>
  <c r="L61" i="1"/>
  <c r="K61" i="1"/>
  <c r="F61" i="1"/>
  <c r="Q60" i="1"/>
  <c r="L60" i="1"/>
  <c r="K60" i="1"/>
  <c r="F60" i="1"/>
  <c r="Q59" i="1"/>
  <c r="L59" i="1"/>
  <c r="K59" i="1"/>
  <c r="F59" i="1"/>
  <c r="Q58" i="1"/>
  <c r="L58" i="1"/>
  <c r="K58" i="1"/>
  <c r="F58" i="1"/>
  <c r="Q57" i="1"/>
  <c r="L57" i="1"/>
  <c r="K57" i="1"/>
  <c r="F57" i="1"/>
  <c r="L56" i="1"/>
  <c r="Q55" i="1"/>
  <c r="L55" i="1"/>
  <c r="K55" i="1"/>
  <c r="F55" i="1"/>
  <c r="Q54" i="1"/>
  <c r="L54" i="1"/>
  <c r="K54" i="1"/>
  <c r="F54" i="1"/>
  <c r="Q53" i="1"/>
  <c r="L53" i="1"/>
  <c r="K53" i="1"/>
  <c r="F53" i="1"/>
  <c r="Q52" i="1"/>
  <c r="L52" i="1"/>
  <c r="K52" i="1"/>
  <c r="F52" i="1"/>
  <c r="L51" i="1"/>
  <c r="Q50" i="1"/>
  <c r="L50" i="1"/>
  <c r="K50" i="1"/>
  <c r="F50" i="1"/>
  <c r="Q49" i="1"/>
  <c r="L49" i="1"/>
  <c r="K49" i="1"/>
  <c r="F49" i="1"/>
  <c r="Q48" i="1"/>
  <c r="L48" i="1"/>
  <c r="K48" i="1"/>
  <c r="F48" i="1"/>
  <c r="Q47" i="1"/>
  <c r="L47" i="1"/>
  <c r="K47" i="1"/>
  <c r="F47" i="1"/>
  <c r="Q46" i="1"/>
  <c r="L46" i="1"/>
  <c r="K46" i="1"/>
  <c r="F46" i="1"/>
  <c r="Q45" i="1"/>
  <c r="L45" i="1"/>
  <c r="K45" i="1"/>
  <c r="F45" i="1"/>
  <c r="Q44" i="1"/>
  <c r="L44" i="1"/>
  <c r="K44" i="1"/>
  <c r="F44" i="1"/>
  <c r="L43" i="1"/>
  <c r="Q42" i="1"/>
  <c r="L42" i="1"/>
  <c r="K42" i="1"/>
  <c r="F42" i="1"/>
  <c r="Q41" i="1"/>
  <c r="L41" i="1"/>
  <c r="K41" i="1"/>
  <c r="F41" i="1"/>
  <c r="Q40" i="1"/>
  <c r="L40" i="1"/>
  <c r="K40" i="1"/>
  <c r="F40" i="1"/>
  <c r="L39" i="1"/>
  <c r="Q38" i="1"/>
  <c r="L38" i="1"/>
  <c r="K38" i="1"/>
  <c r="F38" i="1"/>
  <c r="Q37" i="1"/>
  <c r="L37" i="1"/>
  <c r="K37" i="1"/>
  <c r="F37" i="1"/>
  <c r="Q36" i="1"/>
  <c r="L36" i="1"/>
  <c r="K36" i="1"/>
  <c r="F36" i="1"/>
  <c r="Q35" i="1"/>
  <c r="L35" i="1"/>
  <c r="K35" i="1"/>
  <c r="F35" i="1"/>
  <c r="L34" i="1"/>
  <c r="Q33" i="1"/>
  <c r="L33" i="1"/>
  <c r="K33" i="1"/>
  <c r="F33" i="1"/>
  <c r="L32" i="1"/>
  <c r="Q31" i="1"/>
  <c r="L31" i="1"/>
  <c r="K31" i="1"/>
  <c r="F31" i="1"/>
  <c r="Q30" i="1"/>
  <c r="L30" i="1"/>
  <c r="K30" i="1"/>
  <c r="F30" i="1"/>
  <c r="Q29" i="1"/>
  <c r="L29" i="1"/>
  <c r="K29" i="1"/>
  <c r="F29" i="1"/>
  <c r="Q28" i="1"/>
  <c r="L28" i="1"/>
  <c r="K28" i="1"/>
  <c r="F28" i="1"/>
  <c r="Q27" i="1"/>
  <c r="L27" i="1"/>
  <c r="K27" i="1"/>
  <c r="F27" i="1"/>
  <c r="Q26" i="1"/>
  <c r="L26" i="1"/>
  <c r="K26" i="1"/>
  <c r="F26" i="1"/>
  <c r="Q25" i="1"/>
  <c r="L25" i="1"/>
  <c r="K25" i="1"/>
  <c r="F25" i="1"/>
  <c r="Q24" i="1"/>
  <c r="L24" i="1"/>
  <c r="K24" i="1"/>
  <c r="F24" i="1"/>
  <c r="L23" i="1"/>
  <c r="Q22" i="1"/>
  <c r="L22" i="1"/>
  <c r="K22" i="1"/>
  <c r="F22" i="1"/>
  <c r="Q21" i="1"/>
  <c r="L21" i="1"/>
  <c r="K21" i="1"/>
  <c r="F21" i="1"/>
  <c r="Q20" i="1"/>
  <c r="L20" i="1"/>
  <c r="K20" i="1"/>
  <c r="F20" i="1"/>
  <c r="Q19" i="1"/>
  <c r="L19" i="1"/>
  <c r="K19" i="1"/>
  <c r="F19" i="1"/>
  <c r="Q18" i="1"/>
  <c r="L18" i="1"/>
  <c r="K18" i="1"/>
  <c r="F18" i="1"/>
  <c r="Q17" i="1"/>
  <c r="L17" i="1"/>
  <c r="K17" i="1"/>
  <c r="F17" i="1"/>
  <c r="Q16" i="1"/>
  <c r="L16" i="1"/>
  <c r="K16" i="1"/>
  <c r="F16" i="1"/>
  <c r="Q15" i="1"/>
  <c r="L15" i="1"/>
  <c r="K15" i="1"/>
  <c r="F15" i="1"/>
  <c r="Q14" i="1"/>
  <c r="L14" i="1"/>
  <c r="K14" i="1"/>
  <c r="F14" i="1"/>
  <c r="Q13" i="1"/>
  <c r="L13" i="1"/>
  <c r="K13" i="1"/>
  <c r="F13" i="1"/>
  <c r="L12" i="1"/>
  <c r="Q11" i="1"/>
  <c r="L11" i="1"/>
  <c r="K11" i="1"/>
  <c r="F11" i="1"/>
  <c r="Q10" i="1"/>
  <c r="L10" i="1"/>
  <c r="K10" i="1"/>
  <c r="F10" i="1"/>
  <c r="Q9" i="1"/>
  <c r="L9" i="1"/>
  <c r="K9" i="1"/>
  <c r="F9" i="1"/>
  <c r="Q8" i="1"/>
  <c r="L8" i="1"/>
  <c r="K8" i="1"/>
  <c r="F8" i="1"/>
  <c r="Q7" i="1"/>
  <c r="L7" i="1"/>
  <c r="K7" i="1"/>
  <c r="F7" i="1"/>
  <c r="L6" i="1"/>
  <c r="Q5" i="1"/>
  <c r="L5" i="1"/>
  <c r="K5" i="1"/>
  <c r="F5" i="1"/>
  <c r="Q4" i="1"/>
  <c r="L4" i="1"/>
  <c r="K4" i="1"/>
  <c r="F4" i="1"/>
  <c r="Q3" i="1"/>
  <c r="L3" i="1"/>
  <c r="K3" i="1"/>
  <c r="F3" i="1"/>
  <c r="L2" i="1"/>
</calcChain>
</file>

<file path=xl/sharedStrings.xml><?xml version="1.0" encoding="utf-8"?>
<sst xmlns="http://schemas.openxmlformats.org/spreadsheetml/2006/main" count="917" uniqueCount="410">
  <si>
    <t>Nivel</t>
  </si>
  <si>
    <t>N° Macrosserviço / Serviço</t>
  </si>
  <si>
    <t>Fonte</t>
  </si>
  <si>
    <t>Código</t>
  </si>
  <si>
    <t>Descrição Macrosserviço / Serviço</t>
  </si>
  <si>
    <t>Qtd. (valor calculado)</t>
  </si>
  <si>
    <t>Und.</t>
  </si>
  <si>
    <t>Custo Unitário Referência</t>
  </si>
  <si>
    <t>Custo Unitário</t>
  </si>
  <si>
    <t>BDI</t>
  </si>
  <si>
    <t>Preço Unitário (valor calculado)</t>
  </si>
  <si>
    <t>Preço Total (valor calculado)</t>
  </si>
  <si>
    <t>Observação</t>
  </si>
  <si>
    <t>N° Frente de Obra</t>
  </si>
  <si>
    <t>Frente de Obra</t>
  </si>
  <si>
    <t>Qtd.</t>
  </si>
  <si>
    <t>Valor</t>
  </si>
  <si>
    <t>Macrosserviço</t>
  </si>
  <si>
    <t>1</t>
  </si>
  <si>
    <t>SERVIÇOS PRELIMINARES</t>
  </si>
  <si>
    <t>Serviço</t>
  </si>
  <si>
    <t>1.1</t>
  </si>
  <si>
    <t>SINAPI</t>
  </si>
  <si>
    <t>0000103689</t>
  </si>
  <si>
    <t>FORNECIMENTO E INSTALAÇÃO DE PLACA DE OBRA COM CHAPA GALVANIZADA E ESTRUTURA DE MADEIRA. AF_03/2022_PS</t>
  </si>
  <si>
    <t>M2</t>
  </si>
  <si>
    <t>Frente Única</t>
  </si>
  <si>
    <t>1.2</t>
  </si>
  <si>
    <t>0000099059</t>
  </si>
  <si>
    <t>LOCAÇÃO CONVENCIONAL DE OBRA, UTILIZANDO GABARITO DE TÁBUAS CORRIDAS PONTALETADAS A CADA 2,00M -  2 UTILIZAÇÕES. AF_03/2024</t>
  </si>
  <si>
    <t>M</t>
  </si>
  <si>
    <t>1.3</t>
  </si>
  <si>
    <t>0000098525</t>
  </si>
  <si>
    <t>LIMPEZA MECANIZADA DE CAMADA VEGETAL, VEGETAÇÃO E PEQUENAS ÁRVORES (DIÂMETRO DE TRONCO MENOR QUE 0,20 M), COM TRATOR DE ESTEIRAS. AF_03/2024</t>
  </si>
  <si>
    <t>2</t>
  </si>
  <si>
    <t>FUNDAÇÃO</t>
  </si>
  <si>
    <t>2.1</t>
  </si>
  <si>
    <t>Composição</t>
  </si>
  <si>
    <t>03</t>
  </si>
  <si>
    <t>ESTACA ESCAVADA MECANICAMENTE, SEM FLUIDO ESTABILIZANTE, COM 30CM DE DIAMETRO, CONCRETO 25MPA, LANCADO POR CAMINHAO BETONEIRA (EXCLUSIVE MOBILIZACAO E DESMOBILIZACAO)</t>
  </si>
  <si>
    <t>2.2</t>
  </si>
  <si>
    <t>04</t>
  </si>
  <si>
    <t>MOBILIZACAO E DESMOBILIZACAO DE EQUIPAMENTO DE PERFURACAO PARA EXECUCAO DE FUNDACAO ATÉ 300KM</t>
  </si>
  <si>
    <t>UN</t>
  </si>
  <si>
    <t>2.3</t>
  </si>
  <si>
    <t>0000095583</t>
  </si>
  <si>
    <t>MONTAGEM DE ARMADURA TRANSVERSAL DE ESTACAS DE SEÇÃO CIRCULAR, DIÂMETRO = 5,0 MM. AF_09/2021_PS</t>
  </si>
  <si>
    <t>KG</t>
  </si>
  <si>
    <t>2.4</t>
  </si>
  <si>
    <t>0000095576</t>
  </si>
  <si>
    <t>MONTAGEM DE ARMADURA DE ESTACAS, DIÂMETRO = 8,0 MM. AF_09/2021_PS</t>
  </si>
  <si>
    <t>2.5</t>
  </si>
  <si>
    <t>0000095601</t>
  </si>
  <si>
    <t>ARRASAMENTO MECANICO DE ESTACA DE CONCRETO ARMADO, DIAMETROS DE ATÉ 40 CM. AF_05/2021</t>
  </si>
  <si>
    <t>3</t>
  </si>
  <si>
    <t>INFRAESTRUTURA - BLOCO E VIGA BALDRAME</t>
  </si>
  <si>
    <t>3.1</t>
  </si>
  <si>
    <t>0000096523</t>
  </si>
  <si>
    <t>ESCAVAÇÃO MANUAL PARA BLOCO DE COROAMENTO OU SAPATA (INCLUINDO ESCAVAÇÃO PARA COLOCAÇÃO DE FÔRMAS). AF_01/2024</t>
  </si>
  <si>
    <t>M3</t>
  </si>
  <si>
    <t>3.2</t>
  </si>
  <si>
    <t>0000101616</t>
  </si>
  <si>
    <t>PREPARO DE FUNDO DE VALA COM LARGURA MENOR QUE 1,5 M (ACERTO DO SOLO NATURAL). AF_08/2020</t>
  </si>
  <si>
    <t>3.3</t>
  </si>
  <si>
    <t>0000096616</t>
  </si>
  <si>
    <t>LASTRO DE CONCRETO MAGRO, APLICADO EM BLOCOS DE COROAMENTO OU SAPATAS. AF_01/2024</t>
  </si>
  <si>
    <t>3.4</t>
  </si>
  <si>
    <t>0000096534</t>
  </si>
  <si>
    <t>FABRICAÇÃO, MONTAGEM E DESMONTAGEM DE FÔRMA PARA BLOCO DE COROAMENTO, EM MADEIRA SERRADA, E=25 MM, 4 UTILIZAÇÕES. AF_01/2024</t>
  </si>
  <si>
    <t>3.5</t>
  </si>
  <si>
    <t>0000096543</t>
  </si>
  <si>
    <t>ARMAÇÃO DE BLOCO UTILIZANDO AÇO CA-60 DE 5 MM - MONTAGEM. AF_01/2024</t>
  </si>
  <si>
    <t>3.6</t>
  </si>
  <si>
    <t>0000096545</t>
  </si>
  <si>
    <t>ARMAÇÃO DE BLOCO UTILIZANDO AÇO CA-50 DE 8 MM - MONTAGEM. AF_01/2024</t>
  </si>
  <si>
    <t>3.7</t>
  </si>
  <si>
    <t>0000094965</t>
  </si>
  <si>
    <t>CONCRETO FCK = 25MPA, TRAÇO 1:2,3:2,7 (EM MASSA SECA DE CIMENTO/ AREIA MÉDIA/ BRITA 1) - PREPARO MECÂNICO COM BETONEIRA 400 L. AF_05/2021</t>
  </si>
  <si>
    <t>3.8</t>
  </si>
  <si>
    <t>0000103670</t>
  </si>
  <si>
    <t>LANÇAMENTO COM USO DE BALDES, ADENSAMENTO E ACABAMENTO DE CONCRETO EM ESTRUTURAS. AF_02/2022</t>
  </si>
  <si>
    <t>3.9</t>
  </si>
  <si>
    <t>0000098557</t>
  </si>
  <si>
    <t>IMPERMEABILIZAÇÃO DE SUPERFÍCIE COM EMULSÃO ASFÁLTICA, 2 DEMÃOS. AF_09/2023</t>
  </si>
  <si>
    <t>3.10</t>
  </si>
  <si>
    <t>0000093382</t>
  </si>
  <si>
    <t>REATERRO MANUAL DE VALAS, COM COMPACTADOR DE SOLOS DE PERCUSSÃO. AF_08/2023</t>
  </si>
  <si>
    <t>4</t>
  </si>
  <si>
    <t>SUPRAESTRUTURA - PILAR, VIGA E LAJE</t>
  </si>
  <si>
    <t>4.1</t>
  </si>
  <si>
    <t>0000092448</t>
  </si>
  <si>
    <t>MONTAGEM E DESMONTAGEM DE FÔRMA DE VIGA, ESCORAMENTO COM PONTALETE DE MADEIRA, PÉ-DIREITO SIMPLES, EM MADEIRA SERRADA, 4 UTILIZAÇÕES. AF_09/2020</t>
  </si>
  <si>
    <t>4.2</t>
  </si>
  <si>
    <t>0000092759</t>
  </si>
  <si>
    <t>ARMAÇÃO DE PILAR OU VIGA DE ESTRUTURA CONVENCIONAL DE CONCRETO ARMADO UTILIZANDO AÇO CA-60 DE 5,0 MM - MONTAGEM. AF_06/2022</t>
  </si>
  <si>
    <t>4.3</t>
  </si>
  <si>
    <t>0000092760</t>
  </si>
  <si>
    <t>ARMAÇÃO DE PILAR OU VIGA DE ESTRUTURA CONVENCIONAL DE CONCRETO ARMADO UTILIZANDO AÇO CA-50 DE 6,3 MM - MONTAGEM. AF_06/2022</t>
  </si>
  <si>
    <t>4.4</t>
  </si>
  <si>
    <t>0000092761</t>
  </si>
  <si>
    <t>ARMAÇÃO DE PILAR OU VIGA DE ESTRUTURA CONVENCIONAL DE CONCRETO ARMADO UTILIZANDO AÇO CA-50 DE 8,0 MM - MONTAGEM. AF_06/2022</t>
  </si>
  <si>
    <t>4.5</t>
  </si>
  <si>
    <t>0000092762</t>
  </si>
  <si>
    <t>ARMAÇÃO DE PILAR OU VIGA DE ESTRUTURA CONVENCIONAL DE CONCRETO ARMADO UTILIZANDO AÇO CA-50 DE 10,0 MM - MONTAGEM. AF_06/2022</t>
  </si>
  <si>
    <t>4.6</t>
  </si>
  <si>
    <t>4.7</t>
  </si>
  <si>
    <t>4.8</t>
  </si>
  <si>
    <t>09</t>
  </si>
  <si>
    <t>LAJE PRÉ-MOLDADA UNIDIRECIONAL, BIAPOIADA, ENCHIMENTO EM EPS, VIGOTA TRELIÇADA, ALTURA TOTAL DA LAJE (ENCHIMENTO+CAPA) = (12+4)</t>
  </si>
  <si>
    <t>5</t>
  </si>
  <si>
    <t>ESTRUTURA PRÉ-MOLDADA EM CONCRETO E COBERTURA</t>
  </si>
  <si>
    <t>5.1</t>
  </si>
  <si>
    <t>Cotação</t>
  </si>
  <si>
    <t>06</t>
  </si>
  <si>
    <t>FORNECIMENTO E MONTAGEM DE ESTRUTURA PRÉ-MOLDADA 12,00 X 20,00 M, INCLUSO COBERTURA COM TELHA METÁLICA TERMOACÚSTICA E=30 MM</t>
  </si>
  <si>
    <t>6</t>
  </si>
  <si>
    <t>VEDAÇÃO</t>
  </si>
  <si>
    <t>6.1</t>
  </si>
  <si>
    <t>0000103338</t>
  </si>
  <si>
    <t>ALVENARIA DE VEDAÇÃO DE BLOCOS  VAZADOS DE CONCRETO APARENTE DE 14X19X39 CM (ESPESSURA 14 CM) E ARGAMASSA DE ASSENTAMENTO COM PREPARO EM BETONEIRA. AF_12/2021</t>
  </si>
  <si>
    <t>6.2</t>
  </si>
  <si>
    <t>0000105023</t>
  </si>
  <si>
    <t>VERGA MOLDADA IN LOCO EM CONCRETO, ESPESSURA DE *15* CM. AF_03/2024</t>
  </si>
  <si>
    <t>6.3</t>
  </si>
  <si>
    <t>0000105029</t>
  </si>
  <si>
    <t>CONTRAVERGA MOLDADA IN LOCO EM CONCRETO, ESPESSURA DE *15* CM. AF_03/2024</t>
  </si>
  <si>
    <t>6.4</t>
  </si>
  <si>
    <t>0000093203</t>
  </si>
  <si>
    <t>FIXAÇÃO (ENCUNHAMENTO) DE ALVENARIA DE VEDAÇÃO COM ESPUMA DE POLIURETANO EXPANSIVA. AF_03/2024</t>
  </si>
  <si>
    <t>7</t>
  </si>
  <si>
    <t>ESQUADRIAS</t>
  </si>
  <si>
    <t>7.1</t>
  </si>
  <si>
    <t>0000094569</t>
  </si>
  <si>
    <t>JANELA DE ALUMÍNIO TIPO MAXIM-AR, BATENTE/ REQUADRO 3 A 14 CM, VIDRO INCLUSO, FIXAÇÃO COM PARAFUSO, SEM GUARNIÇÃO/ ALIZAR, DIMENSÕES 60X80 (A X L) CM, SEM ACABAMENTO, VEDAÇÃO COM SILICONE, EXCLUSIVE CONTRAMARCO - FORNECIMENTO E INSTALAÇÃO. AF_11/2024</t>
  </si>
  <si>
    <t>7.2</t>
  </si>
  <si>
    <t>10</t>
  </si>
  <si>
    <t>PORTA EM ACO DE ABRIR TIPO VENEZIANA COM BATENTE, FIXADA COM PARAFUSOS - FORNECIMENTO E INSTALACAO</t>
  </si>
  <si>
    <t>7.3</t>
  </si>
  <si>
    <t>0000100874</t>
  </si>
  <si>
    <t>PUXADOR PARA PCD, FIXADO NA PORTA - FORNECIMENTO E INSTALAÇÃO. AF_01/2020</t>
  </si>
  <si>
    <t>8</t>
  </si>
  <si>
    <t>PINTURA</t>
  </si>
  <si>
    <t>8.1</t>
  </si>
  <si>
    <t>0000096133</t>
  </si>
  <si>
    <t>APLICAÇÃO MANUAL DE MASSA ACRÍLICA EM SUPERFÍCIES EXTERNAS DE SACADA DE EDIFÍCIOS DE MÚLTIPLOS PAVIMENTOS, DUAS DEMÃOS. AF_03/2024</t>
  </si>
  <si>
    <t>8.2</t>
  </si>
  <si>
    <t>0000088485</t>
  </si>
  <si>
    <t>FUNDO SELADOR ACRÍLICO, APLICAÇÃO MANUAL EM PAREDE, UMA DEMÃO. AF_04/2023</t>
  </si>
  <si>
    <t>8.3</t>
  </si>
  <si>
    <t>11</t>
  </si>
  <si>
    <t>PINTURA ESMALTE EM PAREDES INTERNAS/EXTERNAS EM 2 (DUAS) DEMAOS</t>
  </si>
  <si>
    <t>8.4</t>
  </si>
  <si>
    <t>0000088496</t>
  </si>
  <si>
    <t>EMASSAMENTO COM MASSA LÁTEX, APLICAÇÃO EM TETO, DUAS DEMÃOS, LIXAMENTO MANUAL. AF_04/2023</t>
  </si>
  <si>
    <t>8.5</t>
  </si>
  <si>
    <t>0000088484</t>
  </si>
  <si>
    <t>FUNDO SELADOR ACRÍLICO, APLICAÇÃO MANUAL EM TETO, UMA DEMÃO. AF_04/2023</t>
  </si>
  <si>
    <t>8.6</t>
  </si>
  <si>
    <t>0000088488</t>
  </si>
  <si>
    <t>PINTURA LÁTEX ACRÍLICA PREMIUM, APLICAÇÃO MANUAL EM TETO, DUAS DEMÃOS. AF_04/2023</t>
  </si>
  <si>
    <t>8.7</t>
  </si>
  <si>
    <t>0000102491</t>
  </si>
  <si>
    <t>PINTURA DE PISO COM TINTA ACRÍLICA, APLICAÇÃO MANUAL, 2 DEMÃOS, INCLUSO FUNDO PREPARADOR. AF_05/2021</t>
  </si>
  <si>
    <t>9</t>
  </si>
  <si>
    <t>REVESTIMENTO</t>
  </si>
  <si>
    <t>9.1</t>
  </si>
  <si>
    <t>0000087879</t>
  </si>
  <si>
    <t>CHAPISCO APLICADO EM ALVENARIAS E ESTRUTURAS DE CONCRETO INTERNAS, COM COLHER DE PEDREIRO.  ARGAMASSA TRAÇO 1:3 COM PREPARO EM BETONEIRA 400L. AF_10/2022</t>
  </si>
  <si>
    <t>9.2</t>
  </si>
  <si>
    <t>0000087548</t>
  </si>
  <si>
    <t>MASSA ÚNICA, EM ARGAMASSA TRAÇO 1:2:8, PREPARO MANUAL, APLICADA MANUALMENTE EM PAREDES INTERNAS DE AMBIENTES COM ÁREA ENTRE 5M² E 10M², E = 10MM, COM TALISCAS. AF_03/2024</t>
  </si>
  <si>
    <t>9.3</t>
  </si>
  <si>
    <t>0000087882</t>
  </si>
  <si>
    <t>CHAPISCO APLICADO NO TETO OU EM ALVENARIA E ESTRUTURA, COM ROLO PARA TEXTURA ACRÍLICA. ARGAMASSA TRAÇO 1:4 E EMULSÃO POLIMÉRICA (ADESIVO) COM PREPARO EM BETONEIRA 400L. AF_10/2022</t>
  </si>
  <si>
    <t>9.4</t>
  </si>
  <si>
    <t>0000090408</t>
  </si>
  <si>
    <t>MASSA ÚNICA, EM ARGAMASSA TRAÇO 1:2:8, PREPARO MECÂNICO, APLICADA MANUALMENTE EM TETO, E = 10MM, COM TALISCAS. AF_03/2024</t>
  </si>
  <si>
    <t>PAVIMENTAÇÃO INTERNA</t>
  </si>
  <si>
    <t>10.1</t>
  </si>
  <si>
    <t>0000097083</t>
  </si>
  <si>
    <t>COMPACTAÇÃO MECÂNICA DE SOLO PARA EXECUÇÃO DE RADIER, PISO DE CONCRETO OU LAJE SOBRE SOLO, COM COMPACTADOR DE SOLOS A PERCUSSÃO. AF_09/2021</t>
  </si>
  <si>
    <t>10.2</t>
  </si>
  <si>
    <t>0000095241</t>
  </si>
  <si>
    <t>LASTRO DE CONCRETO MAGRO, APLICADO EM PISOS, LAJES SOBRE SOLO OU RADIERS, ESPESSURA DE 5 CM. AF_01/2024</t>
  </si>
  <si>
    <t>10.3</t>
  </si>
  <si>
    <t>0000103913</t>
  </si>
  <si>
    <t>EXECUÇÃO DE PISO INDUSTRIAL DE CONCRETO ARMADO, FCK = 20 MPA, ESPESSURA DE 12,0 CM. AF_04/2022</t>
  </si>
  <si>
    <t>10.4</t>
  </si>
  <si>
    <t>0000087247</t>
  </si>
  <si>
    <t>REVESTIMENTO CERÂMICO PARA PISO COM PLACAS TIPO ESMALTADA DE DIMENSÕES 35X35 CM APLICADA EM AMBIENTES DE ÁREA ENTRE 5 M2 E 10 M2. AF_02/2023_PE</t>
  </si>
  <si>
    <t>10.5</t>
  </si>
  <si>
    <t>0000088648</t>
  </si>
  <si>
    <t>RODAPÉ CERÂMICO DE 7CM DE ALTURA COM PLACAS TIPO ESMALTADA DE DIMENSÕES 35X35CM. AF_02/2023</t>
  </si>
  <si>
    <t>LOUÇAS E METAIS</t>
  </si>
  <si>
    <t>11.1</t>
  </si>
  <si>
    <t>0000095472</t>
  </si>
  <si>
    <t>VASO SANITARIO SIFONADO CONVENCIONAL PARA PCD SEM FURO FRONTAL COM LOUÇA BRANCA SEM ASSENTO, INCLUSO CONJUNTO DE LIGAÇÃO PARA BACIA SANITÁRIA AJUSTÁVEL - FORNECIMENTO E INSTALAÇÃO. AF_01/2020</t>
  </si>
  <si>
    <t>11.2</t>
  </si>
  <si>
    <t>0000095470</t>
  </si>
  <si>
    <t>VASO SANITARIO SIFONADO CONVENCIONAL COM LOUÇA BRANCA, INCLUSO CONJUNTO DE LIGAÇÃO PARA BACIA SANITÁRIA AJUSTÁVEL - FORNECIMENTO E INSTALAÇÃO. AF_01/2020</t>
  </si>
  <si>
    <t>11.3</t>
  </si>
  <si>
    <t>0000100849</t>
  </si>
  <si>
    <t>ASSENTO SANITÁRIO CONVENCIONAL - FORNECIMENTO E INSTALACAO. AF_01/2020</t>
  </si>
  <si>
    <t>11.4</t>
  </si>
  <si>
    <t>12</t>
  </si>
  <si>
    <t>LAVATÓRIO LOUÇA BRANCA SUSPENSO, 29,5 X 39CM OU EQUIVALENTE, PADRÃO POPULAR, INCLUSO SIFÃO FLEXÍVEL EM PVC, VÁLVULA E ENGATE FLEXÍVEL 30CM EM PLÁSTICO E TORNEIRA CROMADA DE MESA, PADRÃO POPULAR - FORNECIMENTO E INSTALAÇÃO</t>
  </si>
  <si>
    <t>11.5</t>
  </si>
  <si>
    <t>0000100853</t>
  </si>
  <si>
    <t>TORNEIRA CROMADA DE MESA PARA LAVATORIO, TIPO MONOCOMANDO. AF_01/2020</t>
  </si>
  <si>
    <t>11.6</t>
  </si>
  <si>
    <t>0000100868</t>
  </si>
  <si>
    <t>BARRA DE APOIO RETA, EM ACO INOX POLIDO, COMPRIMENTO 80 CM,  FIXADA NA PAREDE - FORNECIMENTO E INSTALAÇÃO. AF_01/2020</t>
  </si>
  <si>
    <t>11.7</t>
  </si>
  <si>
    <t>0000100867</t>
  </si>
  <si>
    <t>BARRA DE APOIO RETA, EM ACO INOX POLIDO, COMPRIMENTO 70 CM,  FIXADA NA PAREDE - FORNECIMENTO E INSTALAÇÃO. AF_01/2020</t>
  </si>
  <si>
    <t>11.8</t>
  </si>
  <si>
    <t>13</t>
  </si>
  <si>
    <t>BARRA DE APOIO RETA, EM ACO INOX POLIDO, COMPRIMENTO DE 40CM, DIAMETRO MINIMO DE 3CM</t>
  </si>
  <si>
    <t>11.9</t>
  </si>
  <si>
    <t>0000099635</t>
  </si>
  <si>
    <t>VÁLVULA DE DESCARGA METÁLICA, BASE 1 1/2", ACABAMENTO METALICO CROMADO - FORNECIMENTO E INSTALAÇÃO. AF_08/2021</t>
  </si>
  <si>
    <t>11.10</t>
  </si>
  <si>
    <t>14</t>
  </si>
  <si>
    <t>VÁLVULA DE DESCARGA METÁLICA, BASE 1 1/2", ACABAMENTO METALICO CROMADO ADAPTADO PNE - FORNECIMENTO E INSTALAÇÃO</t>
  </si>
  <si>
    <t>INSTALAÇÕES HIDROSSANITÁRIAS</t>
  </si>
  <si>
    <t>12.1</t>
  </si>
  <si>
    <t>0000102622</t>
  </si>
  <si>
    <t>CAIXA D´ÁGUA EM POLIETILENO, 500 LITROS (INCLUSOS TUBOS, CONEXÕES E TORNEIRA DE BÓIA) - FORNECIMENTO E INSTALAÇÃO. AF_06/2021</t>
  </si>
  <si>
    <t>12.2</t>
  </si>
  <si>
    <t>0000089408</t>
  </si>
  <si>
    <t>JOELHO 90 GRAUS, PVC, SOLDÁVEL, DN 25MM, INSTALADO EM RAMAL DE DISTRIBUIÇÃO DE ÁGUA - FORNECIMENTO E INSTALAÇÃO. AF_06/2022</t>
  </si>
  <si>
    <t>12.3</t>
  </si>
  <si>
    <t>0000103984</t>
  </si>
  <si>
    <t>JOELHO 90 GRAUS, PVC, SOLDÁVEL, DN 50MM, INSTALADO EM RAMAL DE DISTRIBUIÇÃO DE ÁGUA - FORNECIMENTO E INSTALAÇÃO. AF_06/2022</t>
  </si>
  <si>
    <t>12.4</t>
  </si>
  <si>
    <t>0000103999</t>
  </si>
  <si>
    <t>BUCHA DE REDUÇÃO, LONGA, PVC, SOLDÁVEL, DN 50 X 25 MM, INSTALADO EM RAMAL DE DISTRIBUIÇÃO DE ÁGUA - FORNECIMENTO E INSTALAÇÃO. AF_06/2022</t>
  </si>
  <si>
    <t>12.5</t>
  </si>
  <si>
    <t>0000089440</t>
  </si>
  <si>
    <t>TE, PVC, SOLDÁVEL, DN 25MM, INSTALADO EM RAMAL DE DISTRIBUIÇÃO DE ÁGUA - FORNECIMENTO E INSTALAÇÃO. AF_06/2022</t>
  </si>
  <si>
    <t>12.6</t>
  </si>
  <si>
    <t>0000089409</t>
  </si>
  <si>
    <t>JOELHO 45 GRAUS, PVC, SOLDÁVEL, DN 25MM, INSTALADO EM RAMAL DE DISTRIBUIÇÃO DE ÁGUA - FORNECIMENTO E INSTALAÇÃO. AF_06/2022</t>
  </si>
  <si>
    <t>12.7</t>
  </si>
  <si>
    <t>0000089627</t>
  </si>
  <si>
    <t>TÊ DE REDUÇÃO, PVC, SOLDÁVEL, DN 50MM X 25MM, INSTALADO EM PRUMADA DE ÁGUA - FORNECIMENTO E INSTALAÇÃO. AF_06/2022</t>
  </si>
  <si>
    <t>12.8</t>
  </si>
  <si>
    <t>0000103985</t>
  </si>
  <si>
    <t>JOELHO 45 GRAUS, PVC, SOLDÁVEL, DN 50MM, INSTALADO EM RAMAL DE DISTRIBUIÇÃO DE ÁGUA - FORNECIMENTO E INSTALAÇÃO. AF_06/2022</t>
  </si>
  <si>
    <t>12.9</t>
  </si>
  <si>
    <t>0000089402</t>
  </si>
  <si>
    <t>TUBO, PVC, SOLDÁVEL, DE 25MM, INSTALADO EM RAMAL DE DISTRIBUIÇÃO DE ÁGUA - FORNECIMENTO E INSTALAÇÃO. AF_06/2022</t>
  </si>
  <si>
    <t>12.10</t>
  </si>
  <si>
    <t>0000094651</t>
  </si>
  <si>
    <t>TUBO, PVC, SOLDÁVEL, DE 50MM, INSTALADO EM RESERVAÇÃO PREDIAL DE ÁGUA - FORNECIMENTO E INSTALAÇÃO. AF_04/2024</t>
  </si>
  <si>
    <t>12.11</t>
  </si>
  <si>
    <t>0000094489</t>
  </si>
  <si>
    <t>REGISTRO DE ESFERA, PVC, SOLDÁVEL, COM VOLANTE, DN  25 MM - FORNECIMENTO E INSTALAÇÃO. AF_08/2021</t>
  </si>
  <si>
    <t>12.12</t>
  </si>
  <si>
    <t>0000094492</t>
  </si>
  <si>
    <t>REGISTRO DE ESFERA, PVC, SOLDÁVEL, COM VOLANTE, DN  50 MM - FORNECIMENTO E INSTALAÇÃO. AF_08/2021</t>
  </si>
  <si>
    <t>12.13</t>
  </si>
  <si>
    <t>0000094792</t>
  </si>
  <si>
    <t>REGISTRO DE GAVETA BRUTO, LATÃO, ROSCÁVEL, 1", COM ACABAMENTO E CANOPLA CROMADOS - FORNECIMENTO E INSTALAÇÃO. AF_08/2021</t>
  </si>
  <si>
    <t>12.14</t>
  </si>
  <si>
    <t>0000090373</t>
  </si>
  <si>
    <t>JOELHO 90 GRAUS COM BUCHA DE LATÃO, PVC, SOLDÁVEL, DN 25MM, X 1/2  INSTALADO EM RAMAL OU SUB-RAMAL DE ÁGUA - FORNECIMENTO E INSTALAÇÃO. AF_06/2022</t>
  </si>
  <si>
    <t>12.15</t>
  </si>
  <si>
    <t>0000097906</t>
  </si>
  <si>
    <t>CAIXA ENTERRADA HIDRÁULICA RETANGULAR, EM ALVENARIA COM BLOCOS DE CONCRETO, DIMENSÕES INTERNAS: 0,6X0,6X0,6 M PARA REDE DE ESGOTO. AF_12/2020</t>
  </si>
  <si>
    <t>12.16</t>
  </si>
  <si>
    <t>0000104328</t>
  </si>
  <si>
    <t>CAIXA SIFONADA, COM GRELHA QUADRADA, PVC, DN 150 X 150 X 50 MM, JUNTA SOLDÁVEL, FORNECIDA E INSTALADA EM RAMAL DE DESCARGA OU EM RAMAL DE ESGOTO SANITÁRIO. AF_08/2022</t>
  </si>
  <si>
    <t>12.17</t>
  </si>
  <si>
    <t>0000089728</t>
  </si>
  <si>
    <t>CURVA CURTA 90 GRAUS, PVC, SERIE NORMAL, ESGOTO PREDIAL, DN 40 MM, JUNTA SOLDÁVEL, FORNECIDO E INSTALADO EM RAMAL DE DESCARGA OU RAMAL DE ESGOTO SANITÁRIO. AF_08/2022</t>
  </si>
  <si>
    <t>12.18</t>
  </si>
  <si>
    <t>0000089746</t>
  </si>
  <si>
    <t>JOELHO 45 GRAUS, PVC, SERIE NORMAL, ESGOTO PREDIAL, DN 100 MM, JUNTA ELÁSTICA, FORNECIDO E INSTALADO EM RAMAL DE DESCARGA OU RAMAL DE ESGOTO SANITÁRIO. AF_08/2022</t>
  </si>
  <si>
    <t>12.19</t>
  </si>
  <si>
    <t>0000089726</t>
  </si>
  <si>
    <t>JOELHO 45 GRAUS, PVC, SERIE NORMAL, ESGOTO PREDIAL, DN 40 MM, JUNTA SOLDÁVEL, FORNECIDO E INSTALADO EM RAMAL DE DESCARGA OU RAMAL DE ESGOTO SANITÁRIO. AF_08/2022</t>
  </si>
  <si>
    <t>12.20</t>
  </si>
  <si>
    <t>0000089732</t>
  </si>
  <si>
    <t>JOELHO 45 GRAUS, PVC, SERIE NORMAL, ESGOTO PREDIAL, DN 50 MM, JUNTA ELÁSTICA, FORNECIDO E INSTALADO EM RAMAL DE DESCARGA OU RAMAL DE ESGOTO SANITÁRIO. AF_08/2022</t>
  </si>
  <si>
    <t>12.21</t>
  </si>
  <si>
    <t>0000089744</t>
  </si>
  <si>
    <t>JOELHO 90 GRAUS, PVC, SERIE NORMAL, ESGOTO PREDIAL, DN 100 MM, JUNTA ELÁSTICA, FORNECIDO E INSTALADO EM RAMAL DE DESCARGA OU RAMAL DE ESGOTO SANITÁRIO. AF_08/2022</t>
  </si>
  <si>
    <t>12.22</t>
  </si>
  <si>
    <t>0000089724</t>
  </si>
  <si>
    <t>JOELHO 90 GRAUS, PVC, SERIE NORMAL, ESGOTO PREDIAL, DN 40 MM, JUNTA SOLDÁVEL, FORNECIDO E INSTALADO EM RAMAL DE DESCARGA OU RAMAL DE ESGOTO SANITÁRIO. AF_08/2022</t>
  </si>
  <si>
    <t>12.23</t>
  </si>
  <si>
    <t>0000089731</t>
  </si>
  <si>
    <t>JOELHO 90 GRAUS, PVC, SERIE NORMAL, ESGOTO PREDIAL, DN 50 MM, JUNTA ELÁSTICA, FORNECIDO E INSTALADO EM RAMAL DE DESCARGA OU RAMAL DE ESGOTO SANITÁRIO. AF_08/2022</t>
  </si>
  <si>
    <t>12.24</t>
  </si>
  <si>
    <t>0000089797</t>
  </si>
  <si>
    <t>JUNÇÃO SIMPLES, PVC, SERIE NORMAL, ESGOTO PREDIAL, DN 100 X 100 MM, JUNTA ELÁSTICA, FORNECIDO E INSTALADO EM RAMAL DE DESCARGA OU RAMAL DE ESGOTO SANITÁRIO. AF_08/2022</t>
  </si>
  <si>
    <t>12.25</t>
  </si>
  <si>
    <t>0000089785</t>
  </si>
  <si>
    <t>JUNÇÃO SIMPLES, PVC, SERIE NORMAL, ESGOTO PREDIAL, DN 50 X 50 MM, JUNTA ELÁSTICA, FORNECIDO E INSTALADO EM RAMAL DE DESCARGA OU RAMAL DE ESGOTO SANITÁRIO. AF_08/2022</t>
  </si>
  <si>
    <t>12.26</t>
  </si>
  <si>
    <t>0000089778</t>
  </si>
  <si>
    <t>LUVA SIMPLES, PVC, SERIE NORMAL, ESGOTO PREDIAL, DN 100 MM, JUNTA ELÁSTICA, FORNECIDO E INSTALADO EM RAMAL DE DESCARGA OU RAMAL DE ESGOTO SANITÁRIO. AF_08/2022</t>
  </si>
  <si>
    <t>12.27</t>
  </si>
  <si>
    <t>0000089753</t>
  </si>
  <si>
    <t>LUVA SIMPLES, PVC, SERIE NORMAL, ESGOTO PREDIAL, DN 50 MM, JUNTA ELÁSTICA, FORNECIDO E INSTALADO EM RAMAL DE DESCARGA OU RAMAL DE ESGOTO SANITÁRIO. AF_08/2022</t>
  </si>
  <si>
    <t>12.28</t>
  </si>
  <si>
    <t>0000089784</t>
  </si>
  <si>
    <t>TE, PVC, SERIE NORMAL, ESGOTO PREDIAL, DN 50 X 50 MM, JUNTA ELÁSTICA, FORNECIDO E INSTALADO EM RAMAL DE DESCARGA OU RAMAL DE ESGOTO SANITÁRIO. AF_08/2022</t>
  </si>
  <si>
    <t>12.29</t>
  </si>
  <si>
    <t>0000104348</t>
  </si>
  <si>
    <t>TERMINAL DE VENTILAÇÃO, PVC, SÉRIE NORMAL, ESGOTO PREDIAL, DN 50 MM, JUNTA SOLDÁVEL, FORNECIDO E INSTALADO EM PRUMADA DE ESGOTO SANITÁRIO OU VENTILAÇÃO. AF_08/2022</t>
  </si>
  <si>
    <t>12.30</t>
  </si>
  <si>
    <t>0000089714</t>
  </si>
  <si>
    <t>TUBO PVC, SERIE NORMAL, ESGOTO PREDIAL, DN 100 MM, FORNECIDO E INSTALADO EM RAMAL DE DESCARGA OU RAMAL DE ESGOTO SANITÁRIO. AF_08/2022</t>
  </si>
  <si>
    <t>12.31</t>
  </si>
  <si>
    <t>0000089712</t>
  </si>
  <si>
    <t>TUBO PVC, SERIE NORMAL, ESGOTO PREDIAL, DN 50 MM, FORNECIDO E INSTALADO EM RAMAL DE DESCARGA OU RAMAL DE ESGOTO SANITÁRIO. AF_08/2022</t>
  </si>
  <si>
    <t>12.32</t>
  </si>
  <si>
    <t>0000089711</t>
  </si>
  <si>
    <t>TUBO PVC, SERIE NORMAL, ESGOTO PREDIAL, DN 40 MM, FORNECIDO E INSTALADO EM RAMAL DE DESCARGA OU RAMAL DE ESGOTO SANITÁRIO. AF_08/2022</t>
  </si>
  <si>
    <t>12.33</t>
  </si>
  <si>
    <t>0000098062</t>
  </si>
  <si>
    <t>SUMIDOURO CIRCULAR, EM CONCRETO PRÉ-MOLDADO, DIÂMETRO INTERNO = 1,88 M, ALTURA INTERNA = 2,00 M, ÁREA DE INFILTRAÇÃO: 13,1 M² (PARA 5 CONTRIBUINTES). AF_12/2020</t>
  </si>
  <si>
    <t>12.34</t>
  </si>
  <si>
    <t>0000098082</t>
  </si>
  <si>
    <t>TANQUE SÉPTICO RETANGULAR, EM ALVENARIA COM BLOCOS DE CONCRETO, DIMENSÕES INTERNAS: 1,0 X 2,0 X H=1,4 M, VOLUME ÚTIL: 2000 L (PARA 5 CONTRIBUINTES). AF_12/2020</t>
  </si>
  <si>
    <t>INSTALAÇÕES ELÉTRICAS</t>
  </si>
  <si>
    <t>13.1</t>
  </si>
  <si>
    <t>0000091926</t>
  </si>
  <si>
    <t>CABO DE COBRE FLEXÍVEL ISOLADO, 2,5 MM², ANTI-CHAMA 450/750 V, PARA CIRCUITOS TERMINAIS - FORNECIMENTO E INSTALAÇÃO. AF_03/2023</t>
  </si>
  <si>
    <t>13.2</t>
  </si>
  <si>
    <t>0000091936</t>
  </si>
  <si>
    <t>CAIXA OCTOGONAL 4" X 4", PVC, INSTALADA EM LAJE - FORNECIMENTO E INSTALAÇÃO. AF_03/2023</t>
  </si>
  <si>
    <t>13.3</t>
  </si>
  <si>
    <t>15</t>
  </si>
  <si>
    <t>CORDOALHA DE COBRE NU 16 MM², NÃO ENTERRADA, COM ISOLADOR - FORNECIMENTO E INSTALAÇÃO</t>
  </si>
  <si>
    <t>13.4</t>
  </si>
  <si>
    <t>0000093660</t>
  </si>
  <si>
    <t>DISJUNTOR BIPOLAR TIPO DIN, CORRENTE NOMINAL DE 10A - FORNECIMENTO E INSTALAÇÃO. AF_10/2020</t>
  </si>
  <si>
    <t>13.5</t>
  </si>
  <si>
    <t>0000093662</t>
  </si>
  <si>
    <t>DISJUNTOR BIPOLAR TIPO DIN, CORRENTE NOMINAL DE 20A - FORNECIMENTO E INSTALAÇÃO. AF_10/2020</t>
  </si>
  <si>
    <t>13.6</t>
  </si>
  <si>
    <t>0000093653</t>
  </si>
  <si>
    <t>DISJUNTOR MONOPOLAR TIPO DIN, CORRENTE NOMINAL DE 10A - FORNECIMENTO E INSTALAÇÃO. AF_10/2020</t>
  </si>
  <si>
    <t>13.7</t>
  </si>
  <si>
    <t>0000091855</t>
  </si>
  <si>
    <t>ELETRODUTO FLEXÍVEL CORRUGADO REFORÇADO, PVC, DN 25 MM (3/4"), PARA CIRCUITOS TERMINAIS, INSTALADO EM PAREDE - FORNECIMENTO E INSTALAÇÃO. AF_03/2023</t>
  </si>
  <si>
    <t>13.8</t>
  </si>
  <si>
    <t>16</t>
  </si>
  <si>
    <t>ELETRODUTO RIGIDO, EM ACO ZINCADO OU GALVANIZADO, TIPO PESADO, DN=3/4", APARENTE - FORNECIMENTO E INSTALAÇÃO. AF_10/2022</t>
  </si>
  <si>
    <t>13.9</t>
  </si>
  <si>
    <t>17</t>
  </si>
  <si>
    <t>ESCAVACAO (MANUAL) DE VALAS, PARA ASSENTAMENTO DE ELETRODUTOS, COM DIAMETROS ATE 4"</t>
  </si>
  <si>
    <t>13.10</t>
  </si>
  <si>
    <t>0000096985</t>
  </si>
  <si>
    <t>HASTE DE ATERRAMENTO, DIÂMETRO 5/8", COM 3 METROS - FORNECIMENTO E INSTALAÇÃO. AF_08/2023</t>
  </si>
  <si>
    <t>13.11</t>
  </si>
  <si>
    <t>0000090457</t>
  </si>
  <si>
    <t>QUEBRA EM ALVENARIA PARA INSTALAÇÃO DE QUADRO DISTRIBUIÇÃO PEQUENO (19X25 CM). AF_09/2023</t>
  </si>
  <si>
    <t>13.12</t>
  </si>
  <si>
    <t>0000091953</t>
  </si>
  <si>
    <t>INTERRUPTOR SIMPLES (1 MÓDULO), 10A/250V, INCLUINDO SUPORTE E PLACA - FORNECIMENTO E INSTALAÇÃO. AF_03/2023</t>
  </si>
  <si>
    <t>13.13</t>
  </si>
  <si>
    <t>0000097610</t>
  </si>
  <si>
    <t>LÂMPADA COMPACTA DE LED 10 W, BASE E27 - FORNECIMENTO E INSTALAÇÃO. AF_09/2024</t>
  </si>
  <si>
    <t>13.14</t>
  </si>
  <si>
    <t>07</t>
  </si>
  <si>
    <t>LÂMPADA DE LED (BULBO) SOQUETE E-27/E-40 100W</t>
  </si>
  <si>
    <t>13.15</t>
  </si>
  <si>
    <t>0000101876</t>
  </si>
  <si>
    <t>QUADRO DE DISTRIBUIÇÃO DE ENERGIA EM PVC, DE EMBUTIR, SEM BARRAMENTO, PARA 6 DISJUNTORES - FORNECIMENTO E INSTALAÇÃO. AF_10/2020</t>
  </si>
  <si>
    <t>13.16</t>
  </si>
  <si>
    <t>0000090447</t>
  </si>
  <si>
    <t>RASGO LINEAR MANUAL EM ALVENARIA, PARA ELETRODUTOS, DIÂMETROS MENORES OU IGUAIS A 40 MM. AF_09/2023</t>
  </si>
  <si>
    <t>13.17</t>
  </si>
  <si>
    <t>0000091996</t>
  </si>
  <si>
    <t>TOMADA MÉDIA DE EMBUTIR (1 MÓDULO), 2P+T 10 A, INCLUINDO SUPORTE E PLACA - FORNECIMENTO E INSTALAÇÃO. AF_03/2023</t>
  </si>
  <si>
    <t>SERVIÇOS COMPLEMENTARES</t>
  </si>
  <si>
    <t>14.1</t>
  </si>
  <si>
    <t>08</t>
  </si>
  <si>
    <t>PLACA DE INAUGURAÇÃO METÁLICA COM DIMENSÃO *40* CM X *60* CM - INSTALAÇÃO E FORNECIMENTO</t>
  </si>
  <si>
    <t>SERVIÇOS FINAIS</t>
  </si>
  <si>
    <t>15.1</t>
  </si>
  <si>
    <t>0000099814</t>
  </si>
  <si>
    <t>LIMPEZA DE SUPERFÍCIE COM JATO DE ALTA PRESSÃO. AF_04/2019</t>
  </si>
  <si>
    <t>CANTEIRO DE OBRA</t>
  </si>
  <si>
    <t>16.1</t>
  </si>
  <si>
    <t>01</t>
  </si>
  <si>
    <t>INSTALACOES PROVISORIAS DE LUZ E FORCA PARA OBRAS DE PORTE PEQUENO</t>
  </si>
  <si>
    <t>16.2</t>
  </si>
  <si>
    <t>02</t>
  </si>
  <si>
    <t>INSTALACAO PROVISORIA DE AGUA E ESGOTO PARA OBRAS DE PORTE PEQUENO</t>
  </si>
  <si>
    <t>16.3</t>
  </si>
  <si>
    <t>10776</t>
  </si>
  <si>
    <t>LOCACAO DE CONTAINER 2,30 X 6,00 M, ALT. 2,50 M, PARA ESCRITORIO, SEM DIVISORIAS INTERNAS E SEM SANITARIO (NAO INCLUI MOBILIZACAO/DESMOBILIZACAO)</t>
  </si>
  <si>
    <t>ADMINISTRAÇÃO LOCAL</t>
  </si>
  <si>
    <t>17.1</t>
  </si>
  <si>
    <t>0000090777</t>
  </si>
  <si>
    <t>ENGENHEIRO CIVIL DE OBRA JUNIOR COM ENCARGOS COMPLEMENTARES</t>
  </si>
  <si>
    <t>H</t>
  </si>
  <si>
    <t>17.2</t>
  </si>
  <si>
    <t>0000090780</t>
  </si>
  <si>
    <t>MESTRE DE OBRAS COM ENCARGOS COMPLEMENTARES</t>
  </si>
  <si>
    <t>Total:</t>
  </si>
  <si>
    <t>Valor não utilizado (QCI):</t>
  </si>
  <si>
    <t>Número</t>
  </si>
  <si>
    <t>Parcela</t>
  </si>
  <si>
    <t>Percentual Parcela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</si>
</sst>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\R\$\ #,##0.00"/>
    <numFmt numFmtId="165" formatCode="_-&quot;R$ &quot;* #,##0.00_-;&quot;-R$ &quot;* #,##0.00_-;_-&quot;R$ &quot;* \-??_-;_-@_-"/>
  </numFmts>
  <fonts count="4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0"/>
      <color indexed="9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bgColor indexed="49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65" tint="-0.149967955565050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auto="1"/>
      </bottom>
      <diagonal/>
    </border>
  </borders>
  <cellStyleXfs count="4">
    <xf numFmtId="0" fontId="0" fillId="0" borderId="0"/>
    <xf numFmtId="165" fontId="3" fillId="0" borderId="0" applyFill="0" applyBorder="0" applyAlignment="0" applyProtection="0"/>
    <xf numFmtId="9" fontId="3" fillId="0" borderId="0" applyFill="0" applyBorder="0" applyAlignment="0" applyProtection="0"/>
    <xf numFmtId="0" fontId="1" fillId="0" borderId="0"/>
  </cellStyleXfs>
  <cellXfs count="22">
    <xf numFmtId="0" fontId="0" fillId="0" borderId="0" xfId="0"/>
    <xf numFmtId="0" fontId="2" fillId="2" borderId="0" xfId="3" applyFont="1" applyFill="1" applyAlignment="1">
      <alignment horizontal="center"/>
    </xf>
    <xf numFmtId="49" fontId="2" fillId="2" borderId="0" xfId="3" applyNumberFormat="1" applyFont="1" applyFill="1" applyAlignment="1">
      <alignment horizontal="center"/>
    </xf>
    <xf numFmtId="0" fontId="1" fillId="0" borderId="0" xfId="3"/>
    <xf numFmtId="49" fontId="3" fillId="0" borderId="1" xfId="3" applyNumberFormat="1" applyFont="1" applyBorder="1" applyAlignment="1">
      <alignment horizontal="center" vertical="center" wrapText="1"/>
    </xf>
    <xf numFmtId="49" fontId="3" fillId="0" borderId="1" xfId="3" quotePrefix="1" applyNumberFormat="1" applyFont="1" applyBorder="1" applyAlignment="1">
      <alignment horizontal="center" vertical="center" wrapText="1"/>
    </xf>
    <xf numFmtId="4" fontId="3" fillId="3" borderId="1" xfId="3" applyNumberFormat="1" applyFont="1" applyFill="1" applyBorder="1" applyAlignment="1">
      <alignment horizontal="center" vertical="center"/>
    </xf>
    <xf numFmtId="164" fontId="3" fillId="0" borderId="1" xfId="3" applyNumberFormat="1" applyFont="1" applyBorder="1" applyAlignment="1">
      <alignment horizontal="center" vertical="center"/>
    </xf>
    <xf numFmtId="10" fontId="3" fillId="0" borderId="1" xfId="2" applyNumberFormat="1" applyBorder="1" applyAlignment="1">
      <alignment horizontal="center" vertical="center"/>
    </xf>
    <xf numFmtId="164" fontId="3" fillId="3" borderId="1" xfId="3" applyNumberFormat="1" applyFont="1" applyFill="1" applyBorder="1" applyAlignment="1">
      <alignment horizontal="center" vertical="center"/>
    </xf>
    <xf numFmtId="1" fontId="3" fillId="0" borderId="1" xfId="3" applyNumberFormat="1" applyFont="1" applyBorder="1" applyAlignment="1">
      <alignment horizontal="center" vertical="center" wrapText="1"/>
    </xf>
    <xf numFmtId="4" fontId="3" fillId="0" borderId="1" xfId="3" applyNumberFormat="1" applyFont="1" applyBorder="1" applyAlignment="1">
      <alignment horizontal="center" vertical="center"/>
    </xf>
    <xf numFmtId="49" fontId="1" fillId="0" borderId="0" xfId="3" applyNumberFormat="1"/>
    <xf numFmtId="0" fontId="1" fillId="0" borderId="0" xfId="3" applyAlignment="1">
      <alignment horizontal="right"/>
    </xf>
    <xf numFmtId="165" fontId="3" fillId="4" borderId="1" xfId="1" applyFill="1" applyBorder="1"/>
    <xf numFmtId="0" fontId="3" fillId="0" borderId="2" xfId="3" applyFont="1" applyBorder="1" applyAlignment="1">
      <alignment horizontal="center" vertical="center" wrapText="1"/>
    </xf>
    <xf numFmtId="2" fontId="3" fillId="0" borderId="2" xfId="3" applyNumberFormat="1" applyFont="1" applyBorder="1" applyAlignment="1">
      <alignment horizontal="center" vertical="center"/>
    </xf>
    <xf numFmtId="0" fontId="3" fillId="0" borderId="3" xfId="3" applyFont="1" applyBorder="1" applyAlignment="1">
      <alignment horizontal="center" vertical="center" wrapText="1"/>
    </xf>
    <xf numFmtId="0" fontId="3" fillId="0" borderId="4" xfId="3" applyFont="1" applyBorder="1" applyAlignment="1">
      <alignment horizontal="center" vertical="center" wrapText="1"/>
    </xf>
    <xf numFmtId="0" fontId="3" fillId="0" borderId="5" xfId="3" applyFont="1" applyBorder="1" applyAlignment="1">
      <alignment horizontal="center" vertical="center" wrapText="1"/>
    </xf>
    <xf numFmtId="0" fontId="3" fillId="0" borderId="6" xfId="3" applyFont="1" applyBorder="1" applyAlignment="1">
      <alignment horizontal="center" vertical="center" wrapText="1"/>
    </xf>
    <xf numFmtId="0" fontId="3" fillId="0" borderId="7" xfId="3" applyFont="1" applyBorder="1" applyAlignment="1">
      <alignment horizontal="center" vertical="center" wrapText="1"/>
    </xf>
  </cellXfs>
  <cellStyles count="4">
    <cellStyle name="Moeda" xfId="1" builtinId="4"/>
    <cellStyle name="Normal" xfId="0" builtinId="0"/>
    <cellStyle name="Normal 4" xfId="3" xr:uid="{0AA4A907-550F-4D6A-A1D4-D8E99C2B5D4A}"/>
    <cellStyle name="Porcentagem" xfId="2" builtinId="5"/>
  </cellStyles>
  <dxfs count="18">
    <dxf>
      <fill>
        <patternFill>
          <bgColor rgb="FFFF0000"/>
        </patternFill>
      </fill>
    </dxf>
    <dxf>
      <font>
        <b/>
        <i val="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M%20Armaz&#233;m%20Cepege_R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VO"/>
      <sheetName val="MENU"/>
      <sheetName val="DADOS"/>
      <sheetName val="BDI"/>
      <sheetName val="ORÇAMENTO"/>
      <sheetName val="EVENTOS"/>
      <sheetName val="CÁLCULO"/>
      <sheetName val="CRONOPLE"/>
      <sheetName val="CRONO"/>
      <sheetName val="QCI"/>
      <sheetName val="PLE"/>
      <sheetName val="BM"/>
      <sheetName val="RRE"/>
      <sheetName val="OFÍCIO"/>
      <sheetName val="PO-PLE"/>
      <sheetName val="CFF-PLE"/>
      <sheetName val="PO-BM"/>
      <sheetName val="CFF-BM"/>
    </sheetNames>
    <sheetDataSet>
      <sheetData sheetId="0"/>
      <sheetData sheetId="1">
        <row r="1">
          <cell r="J1" t="str">
            <v>PM</v>
          </cell>
          <cell r="K1" t="b">
            <v>1</v>
          </cell>
        </row>
        <row r="2">
          <cell r="J2" t="str">
            <v>v3.10</v>
          </cell>
          <cell r="K2" t="b">
            <v>1</v>
          </cell>
        </row>
        <row r="3">
          <cell r="O3">
            <v>1</v>
          </cell>
        </row>
        <row r="4">
          <cell r="J4" t="str">
            <v>BM</v>
          </cell>
        </row>
      </sheetData>
      <sheetData sheetId="2">
        <row r="2">
          <cell r="G2" t="str">
            <v>Itens de Investimento</v>
          </cell>
          <cell r="H2" t="str">
            <v>Unidades habitacionais</v>
          </cell>
          <cell r="I2">
            <v>3</v>
          </cell>
          <cell r="J2" t="str">
            <v>Equipamentos comunitários</v>
          </cell>
          <cell r="K2">
            <v>6</v>
          </cell>
          <cell r="L2" t="str">
            <v>Pavimentação</v>
          </cell>
          <cell r="M2">
            <v>6</v>
          </cell>
          <cell r="N2" t="str">
            <v xml:space="preserve">Drenagem </v>
          </cell>
          <cell r="O2">
            <v>6</v>
          </cell>
          <cell r="P2" t="str">
            <v>Abastecimento de água</v>
          </cell>
          <cell r="Q2">
            <v>11</v>
          </cell>
          <cell r="R2" t="str">
            <v>Esgotamento sanitário</v>
          </cell>
          <cell r="S2">
            <v>8</v>
          </cell>
          <cell r="T2" t="str">
            <v>Energia elétrica e iluminação pública</v>
          </cell>
          <cell r="U2">
            <v>4</v>
          </cell>
          <cell r="V2" t="str">
            <v>Coleta e tratamento de resíduos sólidos</v>
          </cell>
          <cell r="W2">
            <v>6</v>
          </cell>
          <cell r="X2" t="str">
            <v xml:space="preserve">Contenção e estabilização de encostas </v>
          </cell>
          <cell r="Y2">
            <v>2</v>
          </cell>
          <cell r="Z2" t="str">
            <v>Regularização fundiária</v>
          </cell>
          <cell r="AA2">
            <v>2</v>
          </cell>
          <cell r="AB2" t="str">
            <v>Aquisição de terreno</v>
          </cell>
          <cell r="AC2">
            <v>2</v>
          </cell>
          <cell r="AD2" t="str">
            <v>Aquisição de equipamentos e insumos</v>
          </cell>
          <cell r="AE2">
            <v>1</v>
          </cell>
          <cell r="AF2" t="str">
            <v>Elaboração de estudos e projetos</v>
          </cell>
          <cell r="AG2">
            <v>1</v>
          </cell>
          <cell r="AH2" t="str">
            <v>Instrumentos e ações em planejamento e gestão pública</v>
          </cell>
          <cell r="AI2">
            <v>1</v>
          </cell>
          <cell r="AJ2" t="str">
            <v>Ações complementares às obras</v>
          </cell>
          <cell r="AK2">
            <v>3</v>
          </cell>
          <cell r="AL2" t="str">
            <v>Gerenciamento</v>
          </cell>
          <cell r="AM2">
            <v>1</v>
          </cell>
          <cell r="AN2" t="str">
            <v>Trabalho social</v>
          </cell>
          <cell r="AO2">
            <v>4</v>
          </cell>
          <cell r="AQ2" t="str">
            <v>Sigla</v>
          </cell>
          <cell r="AR2" t="str">
            <v>Descrição</v>
          </cell>
        </row>
        <row r="3">
          <cell r="G3" t="str">
            <v>Unidades habitacionais</v>
          </cell>
          <cell r="AQ3" t="str">
            <v>%CT</v>
          </cell>
        </row>
        <row r="4">
          <cell r="C4" t="str">
            <v>OGU</v>
          </cell>
          <cell r="G4" t="str">
            <v>Equipamentos comunitários</v>
          </cell>
          <cell r="AQ4" t="str">
            <v>°C</v>
          </cell>
        </row>
        <row r="5">
          <cell r="C5" t="str">
            <v>PREFEITURA MUNICIPAL DE SIDROLÂNDIA</v>
          </cell>
          <cell r="G5" t="str">
            <v>Pavimentação</v>
          </cell>
          <cell r="AQ5" t="str">
            <v>°F</v>
          </cell>
        </row>
        <row r="6">
          <cell r="C6" t="str">
            <v>SIDROLÂNDIA - MS</v>
          </cell>
          <cell r="G6" t="str">
            <v xml:space="preserve">Drenagem </v>
          </cell>
          <cell r="AQ6" t="str">
            <v>100M</v>
          </cell>
        </row>
        <row r="7">
          <cell r="C7" t="str">
            <v>1087117-85</v>
          </cell>
          <cell r="G7" t="str">
            <v>Abastecimento de água</v>
          </cell>
          <cell r="AQ7" t="str">
            <v>18L</v>
          </cell>
        </row>
        <row r="8">
          <cell r="C8" t="str">
            <v>943477</v>
          </cell>
          <cell r="G8" t="str">
            <v>Esgotamento sanitário</v>
          </cell>
          <cell r="AQ8" t="str">
            <v>200KG</v>
          </cell>
        </row>
        <row r="9">
          <cell r="C9">
            <v>286500</v>
          </cell>
          <cell r="G9" t="str">
            <v>Energia elétrica e iluminação pública</v>
          </cell>
          <cell r="AQ9" t="str">
            <v>250G</v>
          </cell>
        </row>
        <row r="10">
          <cell r="C10">
            <v>15531.48</v>
          </cell>
          <cell r="G10" t="str">
            <v>Coleta e tratamento de resíduos sólidos</v>
          </cell>
          <cell r="AQ10" t="str">
            <v>310ML</v>
          </cell>
        </row>
        <row r="11">
          <cell r="C11">
            <v>2.0899999999999998E-3</v>
          </cell>
          <cell r="G11" t="str">
            <v xml:space="preserve">Contenção e estabilização de encostas </v>
          </cell>
          <cell r="AQ11" t="str">
            <v>50KG</v>
          </cell>
        </row>
        <row r="12">
          <cell r="G12" t="str">
            <v>Regularização fundiária</v>
          </cell>
          <cell r="AQ12" t="str">
            <v>A</v>
          </cell>
        </row>
        <row r="13">
          <cell r="G13" t="str">
            <v>Aquisição de terreno</v>
          </cell>
          <cell r="AQ13" t="str">
            <v>ACA/ACC</v>
          </cell>
        </row>
        <row r="14">
          <cell r="G14" t="str">
            <v>Aquisição de equipamentos e insumos</v>
          </cell>
          <cell r="AQ14" t="str">
            <v>AH</v>
          </cell>
        </row>
        <row r="15">
          <cell r="G15" t="str">
            <v>Elaboração de estudos e projetos</v>
          </cell>
          <cell r="AQ15" t="str">
            <v>AH/H/V</v>
          </cell>
        </row>
        <row r="16">
          <cell r="C16" t="str">
            <v>Construção de Armazém no Centro de Capacitação e Pesquisa Geraldo Garcia (CEPEGE)</v>
          </cell>
          <cell r="G16" t="str">
            <v>Instrumentos e ações em planejamento e gestão pública</v>
          </cell>
          <cell r="AQ16" t="str">
            <v>AM</v>
          </cell>
        </row>
        <row r="17">
          <cell r="C17" t="str">
            <v>Construção de Armazém no Centro de Capacitação e Pesquisa Geraldo Garcia (CEPEGE)</v>
          </cell>
          <cell r="G17" t="str">
            <v>Ações complementares às obras</v>
          </cell>
          <cell r="AQ17" t="str">
            <v>AM0/4ML</v>
          </cell>
        </row>
        <row r="18">
          <cell r="C18" t="str">
            <v>NÃO DESONERADO</v>
          </cell>
          <cell r="D18" t="str">
            <v/>
          </cell>
          <cell r="G18" t="str">
            <v>Gerenciamento</v>
          </cell>
          <cell r="AQ18" t="str">
            <v>AM0/5ML</v>
          </cell>
        </row>
        <row r="19">
          <cell r="D19" t="str">
            <v/>
          </cell>
          <cell r="G19" t="str">
            <v>Trabalho social</v>
          </cell>
          <cell r="AQ19" t="str">
            <v>AM1/5ML</v>
          </cell>
        </row>
        <row r="20">
          <cell r="AQ20" t="str">
            <v>AM10ML</v>
          </cell>
        </row>
        <row r="21">
          <cell r="AQ21" t="str">
            <v>AM1ML</v>
          </cell>
        </row>
        <row r="22">
          <cell r="C22" t="str">
            <v>LARISSA TORRES MALDONADO LIMA</v>
          </cell>
          <cell r="AQ22" t="str">
            <v>AM2/5ML</v>
          </cell>
        </row>
        <row r="23">
          <cell r="C23" t="str">
            <v>70336/MS</v>
          </cell>
          <cell r="AQ23" t="str">
            <v>AM2ML</v>
          </cell>
        </row>
        <row r="24">
          <cell r="C24" t="str">
            <v>1320250048917</v>
          </cell>
          <cell r="AQ24" t="str">
            <v>AM3ML</v>
          </cell>
        </row>
        <row r="25">
          <cell r="D25" t="str">
            <v/>
          </cell>
          <cell r="AQ25" t="str">
            <v>AM4ML</v>
          </cell>
        </row>
        <row r="26">
          <cell r="AQ26" t="str">
            <v>AM5ML</v>
          </cell>
        </row>
        <row r="27">
          <cell r="AQ27" t="str">
            <v>AM6ML</v>
          </cell>
        </row>
        <row r="28">
          <cell r="AQ28" t="str">
            <v>AM7ML</v>
          </cell>
        </row>
        <row r="29">
          <cell r="AQ29" t="str">
            <v>ANO</v>
          </cell>
        </row>
        <row r="30">
          <cell r="AQ30" t="str">
            <v>ANOS</v>
          </cell>
        </row>
        <row r="31">
          <cell r="C31" t="str">
            <v>TransfereGOV</v>
          </cell>
          <cell r="AQ31" t="str">
            <v>ARR</v>
          </cell>
        </row>
        <row r="32">
          <cell r="AQ32" t="str">
            <v>AWG</v>
          </cell>
        </row>
        <row r="33">
          <cell r="AQ33" t="str">
            <v>BAR</v>
          </cell>
        </row>
        <row r="34">
          <cell r="AQ34" t="str">
            <v>BAR.</v>
          </cell>
        </row>
        <row r="35">
          <cell r="AQ35" t="str">
            <v>BD</v>
          </cell>
        </row>
        <row r="36">
          <cell r="AQ36" t="str">
            <v>BIS</v>
          </cell>
        </row>
        <row r="37">
          <cell r="AQ37" t="str">
            <v>BIS/GL</v>
          </cell>
        </row>
        <row r="38">
          <cell r="AQ38" t="str">
            <v>BIS1/65G</v>
          </cell>
        </row>
        <row r="39">
          <cell r="AQ39" t="str">
            <v>BIS1/8G</v>
          </cell>
        </row>
        <row r="40">
          <cell r="D40" t="str">
            <v/>
          </cell>
          <cell r="AQ40" t="str">
            <v>BIS100G</v>
          </cell>
        </row>
        <row r="41">
          <cell r="D41" t="str">
            <v/>
          </cell>
          <cell r="AQ41" t="str">
            <v>BIS10G</v>
          </cell>
        </row>
        <row r="42">
          <cell r="AQ42" t="str">
            <v>BIS135G</v>
          </cell>
        </row>
        <row r="43">
          <cell r="AQ43" t="str">
            <v>BIS13G</v>
          </cell>
        </row>
        <row r="44">
          <cell r="AQ44" t="str">
            <v>BIS14G</v>
          </cell>
        </row>
        <row r="45">
          <cell r="AQ45" t="str">
            <v>BIS15G</v>
          </cell>
        </row>
        <row r="46">
          <cell r="AQ46" t="str">
            <v>BIS1G</v>
          </cell>
        </row>
        <row r="47">
          <cell r="AQ47" t="str">
            <v>BIS20G</v>
          </cell>
        </row>
        <row r="48">
          <cell r="AQ48" t="str">
            <v>BIS25G</v>
          </cell>
        </row>
        <row r="49">
          <cell r="AQ49" t="str">
            <v>BIS28/8G</v>
          </cell>
        </row>
        <row r="50">
          <cell r="AQ50" t="str">
            <v>BIS28G</v>
          </cell>
        </row>
        <row r="51">
          <cell r="C51" t="str">
            <v>LUIS EDUARDO FERRONATO</v>
          </cell>
          <cell r="AQ51" t="str">
            <v>BIS2G</v>
          </cell>
        </row>
        <row r="52">
          <cell r="C52" t="str">
            <v>ENGENHEIRO CIVIL</v>
          </cell>
          <cell r="AQ52" t="str">
            <v>BIS3/5G</v>
          </cell>
        </row>
        <row r="53">
          <cell r="C53" t="str">
            <v>70339/MS</v>
          </cell>
          <cell r="AQ53" t="str">
            <v>BIS30G</v>
          </cell>
        </row>
        <row r="54">
          <cell r="AQ54" t="str">
            <v>BIS30ML</v>
          </cell>
        </row>
        <row r="55">
          <cell r="AQ55" t="str">
            <v>BIS40G</v>
          </cell>
        </row>
        <row r="56">
          <cell r="AQ56" t="str">
            <v>BIS43G</v>
          </cell>
        </row>
        <row r="57">
          <cell r="AQ57" t="str">
            <v>BIS45G</v>
          </cell>
        </row>
        <row r="58">
          <cell r="AQ58" t="str">
            <v>BIS47G</v>
          </cell>
        </row>
        <row r="59">
          <cell r="AQ59" t="str">
            <v>BIS4G</v>
          </cell>
        </row>
        <row r="60">
          <cell r="AQ60" t="str">
            <v>BIS50G</v>
          </cell>
        </row>
        <row r="61">
          <cell r="AQ61" t="str">
            <v>BIS55G</v>
          </cell>
        </row>
        <row r="62">
          <cell r="AQ62" t="str">
            <v>BIS56G</v>
          </cell>
        </row>
        <row r="63">
          <cell r="AQ63" t="str">
            <v>BIS5G</v>
          </cell>
        </row>
        <row r="64">
          <cell r="AQ64" t="str">
            <v>BIS60G</v>
          </cell>
        </row>
        <row r="65">
          <cell r="AQ65" t="str">
            <v>BIS6G</v>
          </cell>
        </row>
        <row r="66">
          <cell r="AQ66" t="str">
            <v>BIS7/5G</v>
          </cell>
        </row>
        <row r="67">
          <cell r="AQ67" t="str">
            <v>BIS70G</v>
          </cell>
        </row>
        <row r="68">
          <cell r="AQ68" t="str">
            <v>BIS80G</v>
          </cell>
        </row>
        <row r="69">
          <cell r="AQ69" t="str">
            <v>BIS90G</v>
          </cell>
        </row>
        <row r="70">
          <cell r="AQ70" t="str">
            <v>BIT</v>
          </cell>
        </row>
        <row r="71">
          <cell r="AQ71" t="str">
            <v>BL</v>
          </cell>
        </row>
        <row r="72">
          <cell r="AQ72" t="str">
            <v>BLIS</v>
          </cell>
        </row>
        <row r="73">
          <cell r="AQ73" t="str">
            <v>BLIS21CP</v>
          </cell>
        </row>
        <row r="74">
          <cell r="AQ74" t="str">
            <v>BLIS35CP</v>
          </cell>
        </row>
        <row r="75">
          <cell r="AQ75" t="str">
            <v>BOB</v>
          </cell>
        </row>
        <row r="76">
          <cell r="AQ76" t="str">
            <v>BOL</v>
          </cell>
        </row>
        <row r="77">
          <cell r="AQ77" t="str">
            <v>BOM</v>
          </cell>
        </row>
        <row r="78">
          <cell r="AQ78" t="str">
            <v>BPM</v>
          </cell>
        </row>
        <row r="79">
          <cell r="AQ79" t="str">
            <v>BPS</v>
          </cell>
        </row>
        <row r="80">
          <cell r="AQ80" t="str">
            <v>BR</v>
          </cell>
        </row>
        <row r="81">
          <cell r="AQ81" t="str">
            <v>BRI</v>
          </cell>
        </row>
        <row r="82">
          <cell r="AQ82" t="str">
            <v>BTJ</v>
          </cell>
        </row>
        <row r="83">
          <cell r="AQ83" t="str">
            <v>BTU</v>
          </cell>
        </row>
        <row r="84">
          <cell r="AQ84" t="str">
            <v>BTU/H</v>
          </cell>
        </row>
        <row r="85">
          <cell r="AQ85" t="str">
            <v>BWG</v>
          </cell>
        </row>
        <row r="86">
          <cell r="AQ86" t="str">
            <v>C</v>
          </cell>
        </row>
        <row r="87">
          <cell r="AQ87" t="str">
            <v>CA</v>
          </cell>
        </row>
        <row r="88">
          <cell r="AQ88" t="str">
            <v>CAD</v>
          </cell>
        </row>
        <row r="89">
          <cell r="AQ89" t="str">
            <v>CAL/G</v>
          </cell>
        </row>
        <row r="90">
          <cell r="AQ90" t="str">
            <v>CAPS</v>
          </cell>
        </row>
        <row r="91">
          <cell r="AQ91" t="str">
            <v>CAR</v>
          </cell>
        </row>
        <row r="92">
          <cell r="AQ92" t="str">
            <v>CC</v>
          </cell>
        </row>
        <row r="93">
          <cell r="AQ93" t="str">
            <v>CD</v>
          </cell>
        </row>
        <row r="94">
          <cell r="AQ94" t="str">
            <v>CD/M2</v>
          </cell>
        </row>
        <row r="95">
          <cell r="AQ95" t="str">
            <v>CENTO</v>
          </cell>
        </row>
        <row r="96">
          <cell r="AQ96" t="str">
            <v>CG</v>
          </cell>
        </row>
        <row r="97">
          <cell r="AQ97" t="str">
            <v>CH</v>
          </cell>
        </row>
        <row r="98">
          <cell r="AQ98" t="str">
            <v>CHI</v>
          </cell>
        </row>
        <row r="99">
          <cell r="AQ99" t="str">
            <v>CHP</v>
          </cell>
        </row>
        <row r="100">
          <cell r="AQ100" t="str">
            <v>CHP</v>
          </cell>
        </row>
        <row r="101">
          <cell r="AQ101" t="str">
            <v>CI</v>
          </cell>
        </row>
        <row r="102">
          <cell r="AQ102" t="str">
            <v>CIL</v>
          </cell>
        </row>
        <row r="103">
          <cell r="AQ103" t="str">
            <v>CIN</v>
          </cell>
        </row>
        <row r="104">
          <cell r="AQ104" t="str">
            <v>CJ</v>
          </cell>
        </row>
        <row r="105">
          <cell r="AQ105" t="str">
            <v>CL</v>
          </cell>
        </row>
        <row r="106">
          <cell r="AQ106" t="str">
            <v>CM</v>
          </cell>
        </row>
        <row r="107">
          <cell r="AQ107" t="str">
            <v>CM/POL</v>
          </cell>
        </row>
        <row r="108">
          <cell r="AQ108" t="str">
            <v>CM2</v>
          </cell>
        </row>
        <row r="109">
          <cell r="AQ109" t="str">
            <v>CM2/H</v>
          </cell>
        </row>
        <row r="110">
          <cell r="AQ110" t="str">
            <v>CM2/M</v>
          </cell>
        </row>
        <row r="111">
          <cell r="AQ111" t="str">
            <v>CM3</v>
          </cell>
        </row>
        <row r="112">
          <cell r="AQ112" t="str">
            <v>CM³/H</v>
          </cell>
        </row>
        <row r="113">
          <cell r="AQ113" t="str">
            <v>CM³/MIN</v>
          </cell>
        </row>
        <row r="114">
          <cell r="AQ114" t="str">
            <v>CNT</v>
          </cell>
        </row>
        <row r="115">
          <cell r="AQ115" t="str">
            <v>CO</v>
          </cell>
        </row>
        <row r="116">
          <cell r="AQ116" t="str">
            <v>COL</v>
          </cell>
        </row>
        <row r="117">
          <cell r="AQ117" t="str">
            <v>COMP</v>
          </cell>
        </row>
        <row r="118">
          <cell r="AQ118" t="str">
            <v>COMPR</v>
          </cell>
        </row>
        <row r="119">
          <cell r="AQ119" t="str">
            <v>CÓPIA</v>
          </cell>
        </row>
        <row r="120">
          <cell r="AQ120" t="str">
            <v>COPO</v>
          </cell>
        </row>
        <row r="121">
          <cell r="AQ121" t="str">
            <v>CP</v>
          </cell>
        </row>
        <row r="122">
          <cell r="AQ122" t="str">
            <v>CPL</v>
          </cell>
        </row>
        <row r="123">
          <cell r="AQ123" t="str">
            <v>CPM</v>
          </cell>
        </row>
        <row r="124">
          <cell r="AQ124" t="str">
            <v>CPS</v>
          </cell>
        </row>
        <row r="125">
          <cell r="AQ125" t="str">
            <v>CRT</v>
          </cell>
        </row>
        <row r="126">
          <cell r="AQ126" t="str">
            <v>CS</v>
          </cell>
        </row>
        <row r="127">
          <cell r="AQ127" t="str">
            <v>CST</v>
          </cell>
        </row>
        <row r="128">
          <cell r="AQ128" t="str">
            <v>CT</v>
          </cell>
        </row>
        <row r="129">
          <cell r="AQ129" t="str">
            <v>CTE</v>
          </cell>
        </row>
        <row r="130">
          <cell r="AQ130" t="str">
            <v>CV</v>
          </cell>
        </row>
        <row r="131">
          <cell r="AQ131" t="str">
            <v>CX</v>
          </cell>
        </row>
        <row r="132">
          <cell r="AQ132" t="str">
            <v>CX100UN</v>
          </cell>
        </row>
        <row r="133">
          <cell r="AQ133" t="str">
            <v>CX40UN</v>
          </cell>
        </row>
        <row r="134">
          <cell r="AQ134" t="str">
            <v>D</v>
          </cell>
        </row>
        <row r="135">
          <cell r="AQ135" t="str">
            <v>DAG</v>
          </cell>
        </row>
        <row r="136">
          <cell r="AQ136" t="str">
            <v>DAL</v>
          </cell>
        </row>
        <row r="137">
          <cell r="AQ137" t="str">
            <v>DAM</v>
          </cell>
        </row>
        <row r="138">
          <cell r="AQ138" t="str">
            <v>DAN</v>
          </cell>
        </row>
        <row r="139">
          <cell r="AQ139" t="str">
            <v>DB</v>
          </cell>
        </row>
        <row r="140">
          <cell r="AQ140" t="str">
            <v>DBM</v>
          </cell>
        </row>
        <row r="141">
          <cell r="AQ141" t="str">
            <v>DG</v>
          </cell>
        </row>
        <row r="142">
          <cell r="AQ142" t="str">
            <v>DGT</v>
          </cell>
        </row>
        <row r="143">
          <cell r="AQ143" t="str">
            <v>DIA</v>
          </cell>
        </row>
        <row r="144">
          <cell r="AQ144" t="str">
            <v>DIAS</v>
          </cell>
        </row>
        <row r="145">
          <cell r="AQ145" t="str">
            <v>DISCO</v>
          </cell>
        </row>
        <row r="146">
          <cell r="AQ146" t="str">
            <v>DL</v>
          </cell>
        </row>
        <row r="147">
          <cell r="AQ147" t="str">
            <v>DM</v>
          </cell>
        </row>
        <row r="148">
          <cell r="AQ148" t="str">
            <v>DM2</v>
          </cell>
        </row>
        <row r="149">
          <cell r="AQ149" t="str">
            <v>DM3</v>
          </cell>
        </row>
        <row r="150">
          <cell r="AQ150" t="str">
            <v>DM3</v>
          </cell>
        </row>
        <row r="151">
          <cell r="AQ151" t="str">
            <v>DOSES</v>
          </cell>
        </row>
        <row r="152">
          <cell r="AQ152" t="str">
            <v>DPI</v>
          </cell>
        </row>
        <row r="153">
          <cell r="AQ153" t="str">
            <v>DPT</v>
          </cell>
        </row>
        <row r="154">
          <cell r="AQ154" t="str">
            <v>DRAG</v>
          </cell>
        </row>
        <row r="155">
          <cell r="AQ155" t="str">
            <v>DZ</v>
          </cell>
        </row>
        <row r="156">
          <cell r="AQ156" t="str">
            <v>EMB</v>
          </cell>
        </row>
        <row r="157">
          <cell r="AQ157" t="str">
            <v>EMB/H</v>
          </cell>
        </row>
        <row r="158">
          <cell r="AQ158" t="str">
            <v>EMP</v>
          </cell>
        </row>
        <row r="159">
          <cell r="AQ159" t="str">
            <v>ENV</v>
          </cell>
        </row>
        <row r="160">
          <cell r="AQ160" t="str">
            <v>ENV27/9G</v>
          </cell>
        </row>
        <row r="161">
          <cell r="AQ161" t="str">
            <v>ENV30G</v>
          </cell>
        </row>
        <row r="162">
          <cell r="AQ162" t="str">
            <v>EQP</v>
          </cell>
        </row>
        <row r="163">
          <cell r="AQ163" t="str">
            <v>EST</v>
          </cell>
        </row>
        <row r="164">
          <cell r="AQ164" t="str">
            <v>EV</v>
          </cell>
        </row>
        <row r="165">
          <cell r="AQ165" t="str">
            <v>F</v>
          </cell>
        </row>
        <row r="166">
          <cell r="AQ166" t="str">
            <v>FCK</v>
          </cell>
        </row>
        <row r="167">
          <cell r="AQ167" t="str">
            <v>FD</v>
          </cell>
        </row>
        <row r="168">
          <cell r="AQ168" t="str">
            <v>FL</v>
          </cell>
        </row>
        <row r="169">
          <cell r="AQ169" t="str">
            <v>FLAC</v>
          </cell>
        </row>
        <row r="170">
          <cell r="AQ170" t="str">
            <v>FLS/H</v>
          </cell>
        </row>
        <row r="171">
          <cell r="AQ171" t="str">
            <v>FPM</v>
          </cell>
        </row>
        <row r="172">
          <cell r="AQ172" t="str">
            <v>FPS</v>
          </cell>
        </row>
        <row r="173">
          <cell r="AQ173" t="str">
            <v>FR</v>
          </cell>
        </row>
        <row r="174">
          <cell r="AQ174" t="str">
            <v>FR1000ML</v>
          </cell>
        </row>
        <row r="175">
          <cell r="AQ175" t="str">
            <v>FR100DS</v>
          </cell>
        </row>
        <row r="176">
          <cell r="AQ176" t="str">
            <v>FR100ML</v>
          </cell>
        </row>
        <row r="177">
          <cell r="AQ177" t="str">
            <v>FR105ML</v>
          </cell>
        </row>
        <row r="178">
          <cell r="AQ178" t="str">
            <v>FR10ML</v>
          </cell>
        </row>
        <row r="179">
          <cell r="AQ179" t="str">
            <v>FR110ML</v>
          </cell>
        </row>
        <row r="180">
          <cell r="AQ180" t="str">
            <v>FR1200MG</v>
          </cell>
        </row>
        <row r="181">
          <cell r="AQ181" t="str">
            <v>FR120DS</v>
          </cell>
        </row>
        <row r="182">
          <cell r="AQ182" t="str">
            <v>FR120ML</v>
          </cell>
        </row>
        <row r="183">
          <cell r="AQ183" t="str">
            <v>FR125ML</v>
          </cell>
        </row>
        <row r="184">
          <cell r="AQ184" t="str">
            <v>FR130DS</v>
          </cell>
        </row>
        <row r="185">
          <cell r="AQ185" t="str">
            <v>FR1500MG</v>
          </cell>
        </row>
        <row r="186">
          <cell r="AQ186" t="str">
            <v>FR150DS</v>
          </cell>
        </row>
        <row r="187">
          <cell r="AQ187" t="str">
            <v>FR150ML</v>
          </cell>
        </row>
        <row r="188">
          <cell r="AQ188" t="str">
            <v>FR15ML</v>
          </cell>
        </row>
        <row r="189">
          <cell r="AQ189" t="str">
            <v>FR160ML</v>
          </cell>
        </row>
        <row r="190">
          <cell r="AQ190" t="str">
            <v>FR200DS</v>
          </cell>
        </row>
        <row r="191">
          <cell r="AQ191" t="str">
            <v>FR200ML</v>
          </cell>
        </row>
        <row r="192">
          <cell r="AQ192" t="str">
            <v>FR20ML</v>
          </cell>
        </row>
        <row r="193">
          <cell r="AQ193" t="str">
            <v>FR240ML</v>
          </cell>
        </row>
        <row r="194">
          <cell r="AQ194" t="str">
            <v>FR250ML</v>
          </cell>
        </row>
        <row r="195">
          <cell r="AQ195" t="str">
            <v>FR300DS</v>
          </cell>
        </row>
        <row r="196">
          <cell r="AQ196" t="str">
            <v>FR300ML</v>
          </cell>
        </row>
        <row r="197">
          <cell r="AQ197" t="str">
            <v>FR30DS</v>
          </cell>
        </row>
        <row r="198">
          <cell r="AQ198" t="str">
            <v>FR30G</v>
          </cell>
        </row>
        <row r="199">
          <cell r="AQ199" t="str">
            <v>FR30ML</v>
          </cell>
        </row>
        <row r="200">
          <cell r="AQ200" t="str">
            <v>FR340ML</v>
          </cell>
        </row>
        <row r="201">
          <cell r="AQ201" t="str">
            <v>FR350ML</v>
          </cell>
        </row>
        <row r="202">
          <cell r="AQ202" t="str">
            <v>FR40ML</v>
          </cell>
        </row>
        <row r="203">
          <cell r="AQ203" t="str">
            <v>FR45ML</v>
          </cell>
        </row>
        <row r="204">
          <cell r="AQ204" t="str">
            <v>FR500ML</v>
          </cell>
        </row>
        <row r="205">
          <cell r="AQ205" t="str">
            <v>H</v>
          </cell>
        </row>
        <row r="206">
          <cell r="AQ206" t="str">
            <v>KG</v>
          </cell>
        </row>
        <row r="207">
          <cell r="AQ207" t="str">
            <v>KM</v>
          </cell>
        </row>
        <row r="208">
          <cell r="AQ208" t="str">
            <v>M</v>
          </cell>
        </row>
        <row r="209">
          <cell r="AQ209" t="str">
            <v>M2</v>
          </cell>
        </row>
        <row r="210">
          <cell r="AQ210" t="str">
            <v>M3</v>
          </cell>
        </row>
        <row r="211">
          <cell r="AQ211" t="str">
            <v>M3XKM</v>
          </cell>
        </row>
        <row r="212">
          <cell r="AQ212" t="str">
            <v>MES</v>
          </cell>
        </row>
        <row r="213">
          <cell r="AQ213" t="str">
            <v>MÊS</v>
          </cell>
        </row>
        <row r="214">
          <cell r="AQ214" t="str">
            <v>MESES</v>
          </cell>
        </row>
        <row r="215">
          <cell r="AQ215" t="str">
            <v>OUTRAS</v>
          </cell>
        </row>
        <row r="216">
          <cell r="AQ216" t="str">
            <v>PAR</v>
          </cell>
        </row>
        <row r="217">
          <cell r="AQ217" t="str">
            <v>PC</v>
          </cell>
        </row>
        <row r="218">
          <cell r="AQ218" t="str">
            <v>T</v>
          </cell>
        </row>
        <row r="219">
          <cell r="AQ219" t="str">
            <v>TXKM</v>
          </cell>
        </row>
        <row r="220">
          <cell r="AQ220" t="str">
            <v>UN</v>
          </cell>
        </row>
      </sheetData>
      <sheetData sheetId="3">
        <row r="14">
          <cell r="J14" t="str">
            <v>BDI 1</v>
          </cell>
        </row>
        <row r="17">
          <cell r="J17" t="str">
            <v>Construção e Reforma de Edifícios</v>
          </cell>
        </row>
        <row r="54">
          <cell r="J54" t="str">
            <v>BDI 2</v>
          </cell>
        </row>
        <row r="57">
          <cell r="J57" t="str">
            <v>(SELECIONAR)</v>
          </cell>
        </row>
        <row r="94">
          <cell r="J94" t="str">
            <v>BDI 3</v>
          </cell>
        </row>
        <row r="97">
          <cell r="J97" t="str">
            <v>(SELECIONAR)</v>
          </cell>
        </row>
        <row r="138">
          <cell r="A138" t="str">
            <v>(SELECIONAR)</v>
          </cell>
        </row>
        <row r="139">
          <cell r="A139" t="str">
            <v>Construção e Reforma de Edifícios</v>
          </cell>
        </row>
        <row r="140">
          <cell r="A140" t="str">
            <v>Construção de Praças Urbanas, Rodovias, Ferrovias e recapeamento e pavimentação de vias urbanas</v>
          </cell>
        </row>
        <row r="141">
          <cell r="A141" t="str">
            <v>Construção de Redes de Abastecimento de Água, Coleta de Esgoto</v>
          </cell>
        </row>
        <row r="142">
          <cell r="A142" t="str">
            <v>Construção e Manutenção de Estações e Redes de Distribuição de Energia Elétrica</v>
          </cell>
        </row>
        <row r="143">
          <cell r="A143" t="str">
            <v>Obras Portuárias, Marítimas e Fluviais</v>
          </cell>
        </row>
        <row r="144">
          <cell r="A144" t="str">
            <v>Fornecimento de Materiais e Equipamentos (aquisição indireta - em conjunto com licitação de obras)</v>
          </cell>
        </row>
        <row r="145">
          <cell r="A145" t="str">
            <v>Fornecimento de Materiais e Equipamentos (aquisição direta)</v>
          </cell>
        </row>
        <row r="146">
          <cell r="A146" t="str">
            <v>Estudos e Projetos, Planos e Gerenciamento e outros correlatos</v>
          </cell>
        </row>
      </sheetData>
      <sheetData sheetId="4">
        <row r="8">
          <cell r="F8" t="str">
            <v>'[Referência 03-2025.xlsm]Banco'!$a5:$a$65536</v>
          </cell>
          <cell r="AF8" t="b">
            <v>1</v>
          </cell>
        </row>
        <row r="10">
          <cell r="AF10" t="b">
            <v>1</v>
          </cell>
        </row>
        <row r="11">
          <cell r="AF11" t="b">
            <v>1</v>
          </cell>
        </row>
        <row r="15">
          <cell r="M15" t="str">
            <v>LOTE</v>
          </cell>
          <cell r="X15">
            <v>306156.48000000016</v>
          </cell>
          <cell r="Z15" t="str">
            <v/>
          </cell>
          <cell r="AA15">
            <v>19656.479999999974</v>
          </cell>
          <cell r="AB15">
            <v>0</v>
          </cell>
        </row>
        <row r="16">
          <cell r="X16">
            <v>306156.48</v>
          </cell>
          <cell r="Z16" t="str">
            <v/>
          </cell>
          <cell r="AA16">
            <v>19656.479999999974</v>
          </cell>
          <cell r="AB16">
            <v>0</v>
          </cell>
        </row>
        <row r="17">
          <cell r="X17">
            <v>10241.76</v>
          </cell>
          <cell r="Z17" t="str">
            <v/>
          </cell>
          <cell r="AA17">
            <v>657.56227209301539</v>
          </cell>
          <cell r="AB17">
            <v>0</v>
          </cell>
        </row>
        <row r="18">
          <cell r="X18">
            <v>4552.08</v>
          </cell>
          <cell r="Z18" t="str">
            <v>RA</v>
          </cell>
          <cell r="AA18">
            <v>292.26188346037924</v>
          </cell>
          <cell r="AB18">
            <v>0</v>
          </cell>
        </row>
        <row r="19">
          <cell r="X19">
            <v>5430.96</v>
          </cell>
          <cell r="Z19" t="str">
            <v>RA</v>
          </cell>
          <cell r="AA19">
            <v>348.6895218445153</v>
          </cell>
          <cell r="AB19">
            <v>0</v>
          </cell>
        </row>
        <row r="20">
          <cell r="X20">
            <v>258.72000000000003</v>
          </cell>
          <cell r="Z20" t="str">
            <v>RA</v>
          </cell>
          <cell r="AA20">
            <v>16.610866788120887</v>
          </cell>
          <cell r="AB20">
            <v>0</v>
          </cell>
        </row>
        <row r="21">
          <cell r="X21">
            <v>4266.8900000000003</v>
          </cell>
          <cell r="Z21" t="str">
            <v/>
          </cell>
          <cell r="AA21">
            <v>273.95153598316762</v>
          </cell>
          <cell r="AB21">
            <v>0</v>
          </cell>
        </row>
        <row r="22">
          <cell r="X22">
            <v>2796.3</v>
          </cell>
          <cell r="Z22" t="str">
            <v>RA</v>
          </cell>
          <cell r="AA22">
            <v>179.53373067262845</v>
          </cell>
          <cell r="AB22">
            <v>0</v>
          </cell>
        </row>
        <row r="23">
          <cell r="X23">
            <v>51.43</v>
          </cell>
          <cell r="Z23" t="str">
            <v>RA</v>
          </cell>
          <cell r="AA23">
            <v>3.3020132920263494</v>
          </cell>
          <cell r="AB23">
            <v>0</v>
          </cell>
        </row>
        <row r="24">
          <cell r="X24">
            <v>281.72000000000003</v>
          </cell>
          <cell r="Z24" t="str">
            <v>RA</v>
          </cell>
          <cell r="AA24">
            <v>18.087559491146475</v>
          </cell>
          <cell r="AB24">
            <v>0</v>
          </cell>
        </row>
        <row r="25">
          <cell r="X25">
            <v>919.94</v>
          </cell>
          <cell r="Z25" t="str">
            <v>RA</v>
          </cell>
          <cell r="AA25">
            <v>59.063855879189575</v>
          </cell>
          <cell r="AB25">
            <v>0</v>
          </cell>
        </row>
        <row r="26">
          <cell r="X26">
            <v>217.5</v>
          </cell>
          <cell r="Z26" t="str">
            <v>RA</v>
          </cell>
          <cell r="AA26">
            <v>13.964376648176763</v>
          </cell>
          <cell r="AB26">
            <v>0</v>
          </cell>
        </row>
        <row r="27">
          <cell r="X27">
            <v>4911.79</v>
          </cell>
          <cell r="Z27" t="str">
            <v/>
          </cell>
          <cell r="AA27">
            <v>315.35671529539377</v>
          </cell>
          <cell r="AB27">
            <v>0</v>
          </cell>
        </row>
        <row r="28">
          <cell r="X28">
            <v>186.14</v>
          </cell>
          <cell r="Z28" t="str">
            <v>RA</v>
          </cell>
          <cell r="AA28">
            <v>11.950938249616657</v>
          </cell>
          <cell r="AB28">
            <v>0</v>
          </cell>
        </row>
        <row r="29">
          <cell r="X29">
            <v>32.68</v>
          </cell>
          <cell r="Z29" t="str">
            <v>RA</v>
          </cell>
          <cell r="AA29">
            <v>2.098187718907663</v>
          </cell>
          <cell r="AB29">
            <v>0</v>
          </cell>
        </row>
        <row r="30">
          <cell r="X30">
            <v>207.74</v>
          </cell>
          <cell r="Z30" t="str">
            <v>RA</v>
          </cell>
          <cell r="AA30">
            <v>13.337745309849385</v>
          </cell>
          <cell r="AB30">
            <v>0</v>
          </cell>
        </row>
        <row r="31">
          <cell r="X31">
            <v>1244.45</v>
          </cell>
          <cell r="Z31" t="str">
            <v>RA</v>
          </cell>
          <cell r="AA31">
            <v>79.898705838269308</v>
          </cell>
          <cell r="AB31">
            <v>0</v>
          </cell>
        </row>
        <row r="32">
          <cell r="X32">
            <v>721.08</v>
          </cell>
          <cell r="Z32" t="str">
            <v>RA</v>
          </cell>
          <cell r="AA32">
            <v>46.296242360769206</v>
          </cell>
          <cell r="AB32">
            <v>0</v>
          </cell>
        </row>
        <row r="33">
          <cell r="X33">
            <v>499.35</v>
          </cell>
          <cell r="Z33" t="str">
            <v>RA</v>
          </cell>
          <cell r="AA33">
            <v>32.06028266329686</v>
          </cell>
          <cell r="AB33">
            <v>0</v>
          </cell>
        </row>
        <row r="34">
          <cell r="X34">
            <v>943.81</v>
          </cell>
          <cell r="Z34" t="str">
            <v>RA</v>
          </cell>
          <cell r="AA34">
            <v>60.596406088807868</v>
          </cell>
          <cell r="AB34">
            <v>0</v>
          </cell>
        </row>
        <row r="35">
          <cell r="X35">
            <v>530.1</v>
          </cell>
          <cell r="Z35" t="str">
            <v>RA</v>
          </cell>
          <cell r="AA35">
            <v>34.034556603211506</v>
          </cell>
          <cell r="AB35">
            <v>0</v>
          </cell>
        </row>
        <row r="36">
          <cell r="X36">
            <v>541.67999999999995</v>
          </cell>
          <cell r="Z36" t="str">
            <v>RA</v>
          </cell>
          <cell r="AA36">
            <v>34.778039277169604</v>
          </cell>
          <cell r="AB36">
            <v>0</v>
          </cell>
        </row>
        <row r="37">
          <cell r="X37">
            <v>4.76</v>
          </cell>
          <cell r="Z37" t="str">
            <v>RA</v>
          </cell>
          <cell r="AA37">
            <v>0.30561118549573058</v>
          </cell>
          <cell r="AB37">
            <v>0</v>
          </cell>
        </row>
        <row r="38">
          <cell r="X38">
            <v>9806.39</v>
          </cell>
          <cell r="Z38" t="str">
            <v/>
          </cell>
          <cell r="AA38">
            <v>629.60976330535232</v>
          </cell>
          <cell r="AB38">
            <v>0</v>
          </cell>
        </row>
        <row r="39">
          <cell r="X39">
            <v>4852.51</v>
          </cell>
          <cell r="Z39" t="str">
            <v>RA</v>
          </cell>
          <cell r="AA39">
            <v>311.55070036342175</v>
          </cell>
          <cell r="AB39">
            <v>0</v>
          </cell>
        </row>
        <row r="40">
          <cell r="X40">
            <v>567.35</v>
          </cell>
          <cell r="Z40" t="str">
            <v>RA</v>
          </cell>
          <cell r="AA40">
            <v>36.426156741807297</v>
          </cell>
          <cell r="AB40">
            <v>0</v>
          </cell>
        </row>
        <row r="41">
          <cell r="X41">
            <v>9.35</v>
          </cell>
          <cell r="Z41" t="str">
            <v>RA</v>
          </cell>
          <cell r="AA41">
            <v>0.60030768579518501</v>
          </cell>
          <cell r="AB41">
            <v>0</v>
          </cell>
        </row>
        <row r="42">
          <cell r="X42">
            <v>371.75</v>
          </cell>
          <cell r="Z42" t="str">
            <v>RA</v>
          </cell>
          <cell r="AA42">
            <v>23.867848363033158</v>
          </cell>
          <cell r="AB42">
            <v>0</v>
          </cell>
        </row>
        <row r="43">
          <cell r="X43">
            <v>871.08</v>
          </cell>
          <cell r="Z43" t="str">
            <v>RA</v>
          </cell>
          <cell r="AA43">
            <v>55.926846945718694</v>
          </cell>
          <cell r="AB43">
            <v>0</v>
          </cell>
        </row>
        <row r="44">
          <cell r="X44">
            <v>1112.57</v>
          </cell>
          <cell r="Z44" t="str">
            <v>RA</v>
          </cell>
          <cell r="AA44">
            <v>71.431478287181704</v>
          </cell>
          <cell r="AB44">
            <v>0</v>
          </cell>
        </row>
        <row r="45">
          <cell r="X45">
            <v>624.89</v>
          </cell>
          <cell r="Z45" t="str">
            <v>RA</v>
          </cell>
          <cell r="AA45">
            <v>40.120456660593923</v>
          </cell>
          <cell r="AB45">
            <v>0</v>
          </cell>
        </row>
        <row r="46">
          <cell r="X46">
            <v>1396.89</v>
          </cell>
          <cell r="Z46" t="str">
            <v>RA</v>
          </cell>
          <cell r="AA46">
            <v>89.685968257800653</v>
          </cell>
          <cell r="AB46">
            <v>0</v>
          </cell>
        </row>
        <row r="47">
          <cell r="X47">
            <v>130750</v>
          </cell>
          <cell r="Z47" t="str">
            <v/>
          </cell>
          <cell r="AA47">
            <v>8394.6769965476415</v>
          </cell>
          <cell r="AB47">
            <v>0</v>
          </cell>
        </row>
        <row r="48">
          <cell r="X48">
            <v>130750</v>
          </cell>
          <cell r="Z48" t="str">
            <v>RA</v>
          </cell>
          <cell r="AA48">
            <v>8394.6769965476415</v>
          </cell>
          <cell r="AB48">
            <v>0</v>
          </cell>
        </row>
        <row r="49">
          <cell r="X49">
            <v>6876.99</v>
          </cell>
          <cell r="Z49" t="str">
            <v/>
          </cell>
          <cell r="AA49">
            <v>441.53047616434537</v>
          </cell>
          <cell r="AB49">
            <v>0</v>
          </cell>
        </row>
        <row r="50">
          <cell r="X50">
            <v>6207.74</v>
          </cell>
          <cell r="Z50" t="str">
            <v>RA</v>
          </cell>
          <cell r="AA50">
            <v>398.56192870782905</v>
          </cell>
          <cell r="AB50">
            <v>0</v>
          </cell>
        </row>
        <row r="51">
          <cell r="X51">
            <v>335.1</v>
          </cell>
          <cell r="Z51" t="str">
            <v>RA</v>
          </cell>
          <cell r="AA51">
            <v>21.514770642777169</v>
          </cell>
          <cell r="AB51">
            <v>0</v>
          </cell>
        </row>
        <row r="52">
          <cell r="X52">
            <v>107.89</v>
          </cell>
          <cell r="Z52" t="str">
            <v>RA</v>
          </cell>
          <cell r="AA52">
            <v>6.9269728578013385</v>
          </cell>
          <cell r="AB52">
            <v>0</v>
          </cell>
        </row>
        <row r="53">
          <cell r="X53">
            <v>226.26</v>
          </cell>
          <cell r="Z53" t="str">
            <v>RA</v>
          </cell>
          <cell r="AA53">
            <v>14.526803955937813</v>
          </cell>
          <cell r="AB53">
            <v>0</v>
          </cell>
        </row>
        <row r="54">
          <cell r="X54">
            <v>3202.62</v>
          </cell>
          <cell r="Z54" t="str">
            <v/>
          </cell>
          <cell r="AA54">
            <v>205.62111237233961</v>
          </cell>
          <cell r="AB54">
            <v>0</v>
          </cell>
        </row>
        <row r="55">
          <cell r="X55">
            <v>661.98</v>
          </cell>
          <cell r="Z55" t="str">
            <v>RA</v>
          </cell>
          <cell r="AA55">
            <v>42.501784154299102</v>
          </cell>
          <cell r="AB55">
            <v>0</v>
          </cell>
        </row>
        <row r="56">
          <cell r="X56">
            <v>2091.81</v>
          </cell>
          <cell r="Z56" t="str">
            <v>RA</v>
          </cell>
          <cell r="AA56">
            <v>134.30263317895464</v>
          </cell>
          <cell r="AB56">
            <v>0</v>
          </cell>
        </row>
        <row r="57">
          <cell r="X57">
            <v>448.83</v>
          </cell>
          <cell r="Z57" t="str">
            <v>RA</v>
          </cell>
          <cell r="AA57">
            <v>28.816695039085872</v>
          </cell>
          <cell r="AB57">
            <v>0</v>
          </cell>
        </row>
        <row r="58">
          <cell r="X58">
            <v>15543.95</v>
          </cell>
          <cell r="Z58" t="str">
            <v/>
          </cell>
          <cell r="AA58">
            <v>997.98424092150458</v>
          </cell>
          <cell r="AB58">
            <v>0</v>
          </cell>
        </row>
        <row r="59">
          <cell r="X59">
            <v>4532.63</v>
          </cell>
          <cell r="Z59" t="str">
            <v>RA</v>
          </cell>
          <cell r="AA59">
            <v>291.01311506586416</v>
          </cell>
          <cell r="AB59">
            <v>0</v>
          </cell>
        </row>
        <row r="60">
          <cell r="X60">
            <v>402.53</v>
          </cell>
          <cell r="Z60" t="str">
            <v>RA</v>
          </cell>
          <cell r="AA60">
            <v>25.844048423864795</v>
          </cell>
          <cell r="AB60">
            <v>0</v>
          </cell>
        </row>
        <row r="61">
          <cell r="X61">
            <v>2727.97</v>
          </cell>
          <cell r="Z61" t="str">
            <v>RA</v>
          </cell>
          <cell r="AA61">
            <v>175.14666926403109</v>
          </cell>
          <cell r="AB61">
            <v>0</v>
          </cell>
        </row>
        <row r="62">
          <cell r="X62">
            <v>241.96</v>
          </cell>
          <cell r="Z62" t="str">
            <v>RA</v>
          </cell>
          <cell r="AA62">
            <v>15.534807235829195</v>
          </cell>
          <cell r="AB62">
            <v>0</v>
          </cell>
        </row>
        <row r="63">
          <cell r="X63">
            <v>37.18</v>
          </cell>
          <cell r="Z63" t="str">
            <v>RA</v>
          </cell>
          <cell r="AA63">
            <v>2.3871058564561474</v>
          </cell>
          <cell r="AB63">
            <v>0</v>
          </cell>
        </row>
        <row r="64">
          <cell r="X64">
            <v>113.68</v>
          </cell>
          <cell r="Z64" t="str">
            <v>RA</v>
          </cell>
          <cell r="AA64">
            <v>7.2987141947803895</v>
          </cell>
          <cell r="AB64">
            <v>0</v>
          </cell>
        </row>
        <row r="65">
          <cell r="X65">
            <v>7488</v>
          </cell>
          <cell r="Z65" t="str">
            <v>RA</v>
          </cell>
          <cell r="AA65">
            <v>480.75978088067865</v>
          </cell>
          <cell r="AB65">
            <v>0</v>
          </cell>
        </row>
        <row r="66">
          <cell r="X66">
            <v>3569.26</v>
          </cell>
          <cell r="Z66" t="str">
            <v/>
          </cell>
          <cell r="AA66">
            <v>229.16087813917881</v>
          </cell>
          <cell r="AB66">
            <v>0</v>
          </cell>
        </row>
        <row r="67">
          <cell r="X67">
            <v>445.3</v>
          </cell>
          <cell r="Z67" t="str">
            <v>RA</v>
          </cell>
          <cell r="AA67">
            <v>28.590054811186729</v>
          </cell>
          <cell r="AB67">
            <v>0</v>
          </cell>
        </row>
        <row r="68">
          <cell r="X68">
            <v>2836.98</v>
          </cell>
          <cell r="Z68" t="str">
            <v>RA</v>
          </cell>
          <cell r="AA68">
            <v>182.14555063606673</v>
          </cell>
          <cell r="AB68">
            <v>0</v>
          </cell>
        </row>
        <row r="69">
          <cell r="X69">
            <v>46.96</v>
          </cell>
          <cell r="Z69" t="str">
            <v>RA</v>
          </cell>
          <cell r="AA69">
            <v>3.0150212753948544</v>
          </cell>
          <cell r="AB69">
            <v>0</v>
          </cell>
        </row>
        <row r="70">
          <cell r="X70">
            <v>240.02</v>
          </cell>
          <cell r="Z70" t="str">
            <v>RA</v>
          </cell>
          <cell r="AA70">
            <v>15.410251416530516</v>
          </cell>
          <cell r="AB70">
            <v>0</v>
          </cell>
        </row>
        <row r="71">
          <cell r="X71">
            <v>64611.33</v>
          </cell>
          <cell r="Z71" t="str">
            <v/>
          </cell>
          <cell r="AA71">
            <v>4148.3078062512323</v>
          </cell>
          <cell r="AB71">
            <v>0</v>
          </cell>
        </row>
        <row r="72">
          <cell r="X72">
            <v>1219.68</v>
          </cell>
          <cell r="Z72" t="str">
            <v>RA</v>
          </cell>
          <cell r="AA72">
            <v>78.308372001141322</v>
          </cell>
          <cell r="AB72">
            <v>0</v>
          </cell>
        </row>
        <row r="73">
          <cell r="X73">
            <v>13447.28</v>
          </cell>
          <cell r="Z73" t="str">
            <v>RA</v>
          </cell>
          <cell r="AA73">
            <v>863.36957615399751</v>
          </cell>
          <cell r="AB73">
            <v>0</v>
          </cell>
        </row>
        <row r="74">
          <cell r="X74">
            <v>49387.8</v>
          </cell>
          <cell r="Z74" t="str">
            <v>RA</v>
          </cell>
          <cell r="AA74">
            <v>3170.8958208037907</v>
          </cell>
          <cell r="AB74">
            <v>0</v>
          </cell>
        </row>
        <row r="75">
          <cell r="X75">
            <v>453.26</v>
          </cell>
          <cell r="Z75" t="str">
            <v>RA</v>
          </cell>
          <cell r="AA75">
            <v>29.101118894494714</v>
          </cell>
          <cell r="AB75">
            <v>0</v>
          </cell>
        </row>
        <row r="76">
          <cell r="X76">
            <v>103.31</v>
          </cell>
          <cell r="Z76" t="str">
            <v>RA</v>
          </cell>
          <cell r="AA76">
            <v>6.632918397807547</v>
          </cell>
          <cell r="AB76">
            <v>0</v>
          </cell>
        </row>
        <row r="77">
          <cell r="X77">
            <v>6182.78</v>
          </cell>
          <cell r="Z77" t="str">
            <v/>
          </cell>
          <cell r="AA77">
            <v>396.95939610489347</v>
          </cell>
          <cell r="AB77">
            <v>0</v>
          </cell>
        </row>
        <row r="78">
          <cell r="X78">
            <v>1025.53</v>
          </cell>
          <cell r="Z78" t="str">
            <v>RA</v>
          </cell>
          <cell r="AA78">
            <v>65.843159466688348</v>
          </cell>
          <cell r="AB78">
            <v>0</v>
          </cell>
        </row>
        <row r="79">
          <cell r="X79">
            <v>413.48</v>
          </cell>
          <cell r="Z79" t="str">
            <v>RA</v>
          </cell>
          <cell r="AA79">
            <v>26.54708255856611</v>
          </cell>
          <cell r="AB79">
            <v>0</v>
          </cell>
        </row>
        <row r="80">
          <cell r="X80">
            <v>116.86</v>
          </cell>
          <cell r="Z80" t="str">
            <v>RA</v>
          </cell>
          <cell r="AA80">
            <v>7.5028830119813179</v>
          </cell>
          <cell r="AB80">
            <v>0</v>
          </cell>
        </row>
        <row r="81">
          <cell r="X81">
            <v>485.88</v>
          </cell>
          <cell r="Z81" t="str">
            <v>RA</v>
          </cell>
          <cell r="AA81">
            <v>31.195454371568395</v>
          </cell>
          <cell r="AB81">
            <v>0</v>
          </cell>
        </row>
        <row r="82">
          <cell r="X82">
            <v>1012.76</v>
          </cell>
          <cell r="Z82" t="str">
            <v>RA</v>
          </cell>
          <cell r="AA82">
            <v>65.023273996356323</v>
          </cell>
          <cell r="AB82">
            <v>0</v>
          </cell>
        </row>
        <row r="83">
          <cell r="X83">
            <v>985.36</v>
          </cell>
          <cell r="Z83" t="str">
            <v>RA</v>
          </cell>
          <cell r="AA83">
            <v>63.264083558838884</v>
          </cell>
          <cell r="AB83">
            <v>0</v>
          </cell>
        </row>
        <row r="84">
          <cell r="X84">
            <v>475.15</v>
          </cell>
          <cell r="Z84" t="str">
            <v>RA</v>
          </cell>
          <cell r="AA84">
            <v>30.506545123591675</v>
          </cell>
          <cell r="AB84">
            <v>0</v>
          </cell>
        </row>
        <row r="85">
          <cell r="X85">
            <v>760.48</v>
          </cell>
          <cell r="Z85" t="str">
            <v>RA</v>
          </cell>
          <cell r="AA85">
            <v>48.825881165082599</v>
          </cell>
          <cell r="AB85">
            <v>0</v>
          </cell>
        </row>
        <row r="86">
          <cell r="X86">
            <v>275.64999999999998</v>
          </cell>
          <cell r="Z86" t="str">
            <v>RA</v>
          </cell>
          <cell r="AA86">
            <v>17.697841025608849</v>
          </cell>
          <cell r="AB86">
            <v>0</v>
          </cell>
        </row>
        <row r="87">
          <cell r="X87">
            <v>631.63</v>
          </cell>
          <cell r="Z87" t="str">
            <v>RA</v>
          </cell>
          <cell r="AA87">
            <v>40.553191826610984</v>
          </cell>
          <cell r="AB87">
            <v>0</v>
          </cell>
        </row>
        <row r="88">
          <cell r="X88">
            <v>13206.25</v>
          </cell>
          <cell r="Z88" t="str">
            <v/>
          </cell>
          <cell r="AA88">
            <v>847.89447866659486</v>
          </cell>
          <cell r="AB88">
            <v>0</v>
          </cell>
        </row>
        <row r="89">
          <cell r="X89">
            <v>733.86</v>
          </cell>
          <cell r="Z89" t="str">
            <v>RA</v>
          </cell>
          <cell r="AA89">
            <v>47.116769871406895</v>
          </cell>
          <cell r="AB89">
            <v>0</v>
          </cell>
        </row>
        <row r="90">
          <cell r="X90">
            <v>123.96</v>
          </cell>
          <cell r="Z90" t="str">
            <v>RA</v>
          </cell>
          <cell r="AA90">
            <v>7.9587316290022603</v>
          </cell>
          <cell r="AB90">
            <v>0</v>
          </cell>
        </row>
        <row r="91">
          <cell r="X91">
            <v>236.3</v>
          </cell>
          <cell r="Z91" t="str">
            <v>RA</v>
          </cell>
          <cell r="AA91">
            <v>15.171412422823767</v>
          </cell>
          <cell r="AB91">
            <v>0</v>
          </cell>
        </row>
        <row r="92">
          <cell r="X92">
            <v>15.28</v>
          </cell>
          <cell r="Z92" t="str">
            <v>RA</v>
          </cell>
          <cell r="AA92">
            <v>0.98103758705352162</v>
          </cell>
          <cell r="AB92">
            <v>0</v>
          </cell>
        </row>
        <row r="93">
          <cell r="X93">
            <v>14.33</v>
          </cell>
          <cell r="Z93" t="str">
            <v>RA</v>
          </cell>
          <cell r="AA93">
            <v>0.9200437580155082</v>
          </cell>
          <cell r="AB93">
            <v>0</v>
          </cell>
        </row>
        <row r="94">
          <cell r="X94">
            <v>11.34</v>
          </cell>
          <cell r="Z94" t="str">
            <v>RA</v>
          </cell>
          <cell r="AA94">
            <v>0.72807370662218163</v>
          </cell>
          <cell r="AB94">
            <v>0</v>
          </cell>
        </row>
        <row r="95">
          <cell r="X95">
            <v>24.81</v>
          </cell>
          <cell r="Z95" t="str">
            <v>RA</v>
          </cell>
          <cell r="AA95">
            <v>1.5929019983506461</v>
          </cell>
          <cell r="AB95">
            <v>0</v>
          </cell>
        </row>
        <row r="96">
          <cell r="X96">
            <v>26.86</v>
          </cell>
          <cell r="Z96" t="str">
            <v>RA</v>
          </cell>
          <cell r="AA96">
            <v>1.7245202610116224</v>
          </cell>
          <cell r="AB96">
            <v>0</v>
          </cell>
        </row>
        <row r="97">
          <cell r="X97">
            <v>317.11</v>
          </cell>
          <cell r="Z97" t="str">
            <v>RA</v>
          </cell>
          <cell r="AA97">
            <v>20.359740132888891</v>
          </cell>
          <cell r="AB97">
            <v>0</v>
          </cell>
        </row>
        <row r="98">
          <cell r="X98">
            <v>323.56</v>
          </cell>
          <cell r="Z98" t="str">
            <v>RA</v>
          </cell>
          <cell r="AA98">
            <v>20.773856130041718</v>
          </cell>
          <cell r="AB98">
            <v>0</v>
          </cell>
        </row>
        <row r="99">
          <cell r="X99">
            <v>69.22</v>
          </cell>
          <cell r="Z99" t="str">
            <v>RA</v>
          </cell>
          <cell r="AA99">
            <v>4.4442029958013594</v>
          </cell>
          <cell r="AB99">
            <v>0</v>
          </cell>
        </row>
        <row r="100">
          <cell r="X100">
            <v>214.95</v>
          </cell>
          <cell r="Z100" t="str">
            <v>RA</v>
          </cell>
          <cell r="AA100">
            <v>13.800656370232621</v>
          </cell>
          <cell r="AB100">
            <v>0</v>
          </cell>
        </row>
        <row r="101">
          <cell r="X101">
            <v>214.76</v>
          </cell>
          <cell r="Z101" t="str">
            <v>RA</v>
          </cell>
          <cell r="AA101">
            <v>13.78845760442502</v>
          </cell>
          <cell r="AB101">
            <v>0</v>
          </cell>
        </row>
        <row r="102">
          <cell r="X102">
            <v>31.68</v>
          </cell>
          <cell r="Z102" t="str">
            <v>RA</v>
          </cell>
          <cell r="AA102">
            <v>2.0339836883413329</v>
          </cell>
          <cell r="AB102">
            <v>0</v>
          </cell>
        </row>
        <row r="103">
          <cell r="X103">
            <v>551.79</v>
          </cell>
          <cell r="Z103" t="str">
            <v>RA</v>
          </cell>
          <cell r="AA103">
            <v>35.427142026195199</v>
          </cell>
          <cell r="AB103">
            <v>0</v>
          </cell>
        </row>
        <row r="104">
          <cell r="X104">
            <v>172.8</v>
          </cell>
          <cell r="Z104" t="str">
            <v>RA</v>
          </cell>
          <cell r="AA104">
            <v>11.094456481861815</v>
          </cell>
          <cell r="AB104">
            <v>0</v>
          </cell>
        </row>
        <row r="105">
          <cell r="X105">
            <v>32.28</v>
          </cell>
          <cell r="Z105" t="str">
            <v>RA</v>
          </cell>
          <cell r="AA105">
            <v>2.0725061066811308</v>
          </cell>
          <cell r="AB105">
            <v>0</v>
          </cell>
        </row>
        <row r="106">
          <cell r="X106">
            <v>35.14</v>
          </cell>
          <cell r="Z106" t="str">
            <v>RA</v>
          </cell>
          <cell r="AA106">
            <v>2.2561296341008346</v>
          </cell>
          <cell r="AB106">
            <v>0</v>
          </cell>
        </row>
        <row r="107">
          <cell r="X107">
            <v>25.46</v>
          </cell>
          <cell r="Z107" t="str">
            <v>RA</v>
          </cell>
          <cell r="AA107">
            <v>1.6346346182187605</v>
          </cell>
          <cell r="AB107">
            <v>0</v>
          </cell>
        </row>
        <row r="108">
          <cell r="X108">
            <v>76.64</v>
          </cell>
          <cell r="Z108" t="str">
            <v>RA</v>
          </cell>
          <cell r="AA108">
            <v>4.9205969026035277</v>
          </cell>
          <cell r="AB108">
            <v>0</v>
          </cell>
        </row>
        <row r="109">
          <cell r="X109">
            <v>68.16</v>
          </cell>
          <cell r="Z109" t="str">
            <v>RA</v>
          </cell>
          <cell r="AA109">
            <v>4.3761467234010496</v>
          </cell>
          <cell r="AB109">
            <v>0</v>
          </cell>
        </row>
        <row r="110">
          <cell r="X110">
            <v>24.88</v>
          </cell>
          <cell r="Z110" t="str">
            <v>RA</v>
          </cell>
          <cell r="AA110">
            <v>1.597396280490289</v>
          </cell>
          <cell r="AB110">
            <v>0</v>
          </cell>
        </row>
        <row r="111">
          <cell r="X111">
            <v>36.479999999999997</v>
          </cell>
          <cell r="Z111" t="str">
            <v>RA</v>
          </cell>
          <cell r="AA111">
            <v>2.3421630350597162</v>
          </cell>
          <cell r="AB111">
            <v>0</v>
          </cell>
        </row>
        <row r="112">
          <cell r="X112">
            <v>63.98</v>
          </cell>
          <cell r="Z112" t="str">
            <v>RA</v>
          </cell>
          <cell r="AA112">
            <v>4.1077738756337903</v>
          </cell>
          <cell r="AB112">
            <v>0</v>
          </cell>
        </row>
        <row r="113">
          <cell r="X113">
            <v>65.52</v>
          </cell>
          <cell r="Z113" t="str">
            <v>RA</v>
          </cell>
          <cell r="AA113">
            <v>4.2066480827059385</v>
          </cell>
          <cell r="AB113">
            <v>0</v>
          </cell>
        </row>
        <row r="114">
          <cell r="X114">
            <v>44.28</v>
          </cell>
          <cell r="Z114" t="str">
            <v>RA</v>
          </cell>
          <cell r="AA114">
            <v>2.8429544734770902</v>
          </cell>
          <cell r="AB114">
            <v>0</v>
          </cell>
        </row>
        <row r="115">
          <cell r="X115">
            <v>80.150000000000006</v>
          </cell>
          <cell r="Z115" t="str">
            <v>RA</v>
          </cell>
          <cell r="AA115">
            <v>5.1459530498913457</v>
          </cell>
          <cell r="AB115">
            <v>0</v>
          </cell>
        </row>
        <row r="116">
          <cell r="X116">
            <v>29.78</v>
          </cell>
          <cell r="Z116" t="str">
            <v>RA</v>
          </cell>
          <cell r="AA116">
            <v>1.9119960302653061</v>
          </cell>
          <cell r="AB116">
            <v>0</v>
          </cell>
        </row>
        <row r="117">
          <cell r="X117">
            <v>14.09</v>
          </cell>
          <cell r="Z117" t="str">
            <v>RA</v>
          </cell>
          <cell r="AA117">
            <v>0.90463479067958896</v>
          </cell>
          <cell r="AB117">
            <v>0</v>
          </cell>
        </row>
        <row r="118">
          <cell r="X118">
            <v>555.89</v>
          </cell>
          <cell r="Z118" t="str">
            <v>RA</v>
          </cell>
          <cell r="AA118">
            <v>35.690378551517156</v>
          </cell>
          <cell r="AB118">
            <v>0</v>
          </cell>
        </row>
        <row r="119">
          <cell r="X119">
            <v>290.52999999999997</v>
          </cell>
          <cell r="Z119" t="str">
            <v>RA</v>
          </cell>
          <cell r="AA119">
            <v>18.653197000435839</v>
          </cell>
          <cell r="AB119">
            <v>0</v>
          </cell>
        </row>
        <row r="120">
          <cell r="X120">
            <v>48</v>
          </cell>
          <cell r="Z120" t="str">
            <v>RA</v>
          </cell>
          <cell r="AA120">
            <v>3.0817934671838376</v>
          </cell>
          <cell r="AB120">
            <v>0</v>
          </cell>
        </row>
        <row r="121">
          <cell r="X121">
            <v>4020.43</v>
          </cell>
          <cell r="Z121" t="str">
            <v>RA</v>
          </cell>
          <cell r="AA121">
            <v>258.12781060978989</v>
          </cell>
          <cell r="AB121">
            <v>0</v>
          </cell>
        </row>
        <row r="122">
          <cell r="X122">
            <v>4611.95</v>
          </cell>
          <cell r="Z122" t="str">
            <v>RA</v>
          </cell>
          <cell r="AA122">
            <v>296.10577877038543</v>
          </cell>
          <cell r="AB122">
            <v>0</v>
          </cell>
        </row>
        <row r="123">
          <cell r="X123">
            <v>6784.6</v>
          </cell>
          <cell r="Z123" t="str">
            <v/>
          </cell>
          <cell r="AA123">
            <v>435.59866578032216</v>
          </cell>
          <cell r="AB123">
            <v>0</v>
          </cell>
        </row>
        <row r="124">
          <cell r="X124">
            <v>2164</v>
          </cell>
          <cell r="Z124" t="str">
            <v>RA</v>
          </cell>
          <cell r="AA124">
            <v>138.93752214553803</v>
          </cell>
          <cell r="AB124">
            <v>0</v>
          </cell>
        </row>
        <row r="125">
          <cell r="X125">
            <v>193.9</v>
          </cell>
          <cell r="Z125" t="str">
            <v>RA</v>
          </cell>
          <cell r="AA125">
            <v>12.449161526811377</v>
          </cell>
          <cell r="AB125">
            <v>0</v>
          </cell>
        </row>
        <row r="126">
          <cell r="X126">
            <v>321.3</v>
          </cell>
          <cell r="Z126" t="str">
            <v>RA</v>
          </cell>
          <cell r="AA126">
            <v>20.628755020961815</v>
          </cell>
          <cell r="AB126">
            <v>0</v>
          </cell>
        </row>
        <row r="127">
          <cell r="X127">
            <v>70.48</v>
          </cell>
          <cell r="Z127" t="str">
            <v>RA</v>
          </cell>
          <cell r="AA127">
            <v>4.5251000743149348</v>
          </cell>
          <cell r="AB127">
            <v>0</v>
          </cell>
        </row>
        <row r="128">
          <cell r="X128">
            <v>149.96</v>
          </cell>
          <cell r="Z128" t="str">
            <v>RA</v>
          </cell>
          <cell r="AA128">
            <v>9.6280364237268401</v>
          </cell>
          <cell r="AB128">
            <v>0</v>
          </cell>
        </row>
        <row r="129">
          <cell r="X129">
            <v>14.54</v>
          </cell>
          <cell r="Z129" t="str">
            <v>RA</v>
          </cell>
          <cell r="AA129">
            <v>0.93352660443443747</v>
          </cell>
          <cell r="AB129">
            <v>0</v>
          </cell>
        </row>
        <row r="130">
          <cell r="X130">
            <v>1530.65</v>
          </cell>
          <cell r="Z130" t="str">
            <v>RA</v>
          </cell>
          <cell r="AA130">
            <v>98.273899386352952</v>
          </cell>
          <cell r="AB130">
            <v>0</v>
          </cell>
        </row>
        <row r="131">
          <cell r="X131">
            <v>209.9</v>
          </cell>
          <cell r="Z131" t="str">
            <v>RA</v>
          </cell>
          <cell r="AA131">
            <v>13.476426015872656</v>
          </cell>
          <cell r="AB131">
            <v>0</v>
          </cell>
        </row>
        <row r="132">
          <cell r="X132">
            <v>318.60000000000002</v>
          </cell>
          <cell r="Z132" t="str">
            <v>RA</v>
          </cell>
          <cell r="AA132">
            <v>20.455404138432723</v>
          </cell>
          <cell r="AB132">
            <v>0</v>
          </cell>
        </row>
        <row r="133">
          <cell r="X133">
            <v>91.76</v>
          </cell>
          <cell r="Z133" t="str">
            <v>RA</v>
          </cell>
          <cell r="AA133">
            <v>5.8913618447664362</v>
          </cell>
          <cell r="AB133">
            <v>0</v>
          </cell>
        </row>
        <row r="134">
          <cell r="X134">
            <v>14.28</v>
          </cell>
          <cell r="Z134" t="str">
            <v>RA</v>
          </cell>
          <cell r="AA134">
            <v>0.91683355648719167</v>
          </cell>
          <cell r="AB134">
            <v>0</v>
          </cell>
        </row>
        <row r="135">
          <cell r="X135">
            <v>101.88</v>
          </cell>
          <cell r="Z135" t="str">
            <v>RA</v>
          </cell>
          <cell r="AA135">
            <v>6.5411066340976953</v>
          </cell>
          <cell r="AB135">
            <v>0</v>
          </cell>
        </row>
        <row r="136">
          <cell r="X136">
            <v>33.26</v>
          </cell>
          <cell r="Z136" t="str">
            <v>RA</v>
          </cell>
          <cell r="AA136">
            <v>2.1354260566361338</v>
          </cell>
          <cell r="AB136">
            <v>0</v>
          </cell>
        </row>
        <row r="137">
          <cell r="X137">
            <v>1302</v>
          </cell>
          <cell r="Z137" t="str">
            <v>RA</v>
          </cell>
          <cell r="AA137">
            <v>83.593647797361598</v>
          </cell>
          <cell r="AB137">
            <v>0</v>
          </cell>
        </row>
        <row r="138">
          <cell r="X138">
            <v>93.61</v>
          </cell>
          <cell r="Z138" t="str">
            <v>RA</v>
          </cell>
          <cell r="AA138">
            <v>6.0101393013141466</v>
          </cell>
          <cell r="AB138">
            <v>0</v>
          </cell>
        </row>
        <row r="139">
          <cell r="X139">
            <v>94.3</v>
          </cell>
          <cell r="Z139" t="str">
            <v>RA</v>
          </cell>
          <cell r="AA139">
            <v>6.0544400824049145</v>
          </cell>
          <cell r="AB139">
            <v>0</v>
          </cell>
        </row>
        <row r="140">
          <cell r="X140">
            <v>80.180000000000007</v>
          </cell>
          <cell r="Z140" t="str">
            <v>RA</v>
          </cell>
          <cell r="AA140">
            <v>5.147879170808336</v>
          </cell>
          <cell r="AB140">
            <v>0</v>
          </cell>
        </row>
        <row r="141">
          <cell r="X141">
            <v>968.79</v>
          </cell>
          <cell r="Z141" t="str">
            <v/>
          </cell>
          <cell r="AA141">
            <v>62.200222772354792</v>
          </cell>
          <cell r="AB141">
            <v>0</v>
          </cell>
        </row>
        <row r="142">
          <cell r="X142">
            <v>968.79</v>
          </cell>
          <cell r="Z142" t="str">
            <v>RA</v>
          </cell>
          <cell r="AA142">
            <v>62.200222772354792</v>
          </cell>
          <cell r="AB142">
            <v>0</v>
          </cell>
        </row>
        <row r="143">
          <cell r="X143">
            <v>736.12</v>
          </cell>
          <cell r="Z143" t="str">
            <v/>
          </cell>
          <cell r="AA143">
            <v>47.261870980486805</v>
          </cell>
          <cell r="AB143">
            <v>0</v>
          </cell>
        </row>
        <row r="144">
          <cell r="X144">
            <v>736.12</v>
          </cell>
          <cell r="Z144" t="str">
            <v>RA</v>
          </cell>
          <cell r="AA144">
            <v>47.261870980486805</v>
          </cell>
          <cell r="AB144">
            <v>0</v>
          </cell>
        </row>
        <row r="145">
          <cell r="X145">
            <v>10446.719999999999</v>
          </cell>
          <cell r="Z145" t="str">
            <v/>
          </cell>
          <cell r="AA145">
            <v>670.72153019789039</v>
          </cell>
          <cell r="AB145">
            <v>0</v>
          </cell>
        </row>
        <row r="146">
          <cell r="X146">
            <v>4126.21</v>
          </cell>
          <cell r="Z146" t="str">
            <v>RA</v>
          </cell>
          <cell r="AA146">
            <v>264.91931296309633</v>
          </cell>
          <cell r="AB146">
            <v>0</v>
          </cell>
        </row>
        <row r="147">
          <cell r="X147">
            <v>3009.99</v>
          </cell>
          <cell r="Z147" t="str">
            <v>RA</v>
          </cell>
          <cell r="AA147">
            <v>193.25348996434747</v>
          </cell>
          <cell r="AB147">
            <v>0</v>
          </cell>
        </row>
        <row r="148">
          <cell r="X148">
            <v>3310.52</v>
          </cell>
          <cell r="Z148" t="str">
            <v>RA</v>
          </cell>
          <cell r="AA148">
            <v>212.54872727044662</v>
          </cell>
          <cell r="AB148">
            <v>0</v>
          </cell>
        </row>
        <row r="149">
          <cell r="X149">
            <v>14050.24</v>
          </cell>
          <cell r="Z149" t="str">
            <v/>
          </cell>
          <cell r="AA149">
            <v>902.08203842427167</v>
          </cell>
          <cell r="AB149">
            <v>0</v>
          </cell>
        </row>
        <row r="150">
          <cell r="X150">
            <v>2515.84</v>
          </cell>
          <cell r="Z150" t="str">
            <v>RA</v>
          </cell>
          <cell r="AA150">
            <v>161.52706825999556</v>
          </cell>
          <cell r="AB150">
            <v>0</v>
          </cell>
        </row>
        <row r="151">
          <cell r="X151">
            <v>11534.4</v>
          </cell>
          <cell r="Z151" t="str">
            <v>RA</v>
          </cell>
          <cell r="AA151">
            <v>740.55497016427614</v>
          </cell>
          <cell r="AB151">
            <v>0</v>
          </cell>
        </row>
      </sheetData>
      <sheetData sheetId="5">
        <row r="1">
          <cell r="C1" t="e">
            <v>#REF!</v>
          </cell>
        </row>
        <row r="4">
          <cell r="C4" t="str">
            <v>PROPONENTE / TOMADOR</v>
          </cell>
        </row>
        <row r="5">
          <cell r="C5" t="str">
            <v>PREFEITURA MUNICIPAL DE SIDROLÂNDIA</v>
          </cell>
        </row>
        <row r="6">
          <cell r="C6" t="str">
            <v>1. Selecione abaixo a forma de definição dos agrupadores de eventos:</v>
          </cell>
        </row>
        <row r="8">
          <cell r="C8" t="str">
            <v>Automática, conforme os agrupadores Nível 2 do Orçamento</v>
          </cell>
        </row>
        <row r="10">
          <cell r="C10">
            <v>0</v>
          </cell>
        </row>
        <row r="11">
          <cell r="C11" t="str">
            <v>Foi selecionado na aba 'MENU' o acompanhamento por BM. Não há necessidade de definição de Eventos.</v>
          </cell>
        </row>
        <row r="13">
          <cell r="C13" t="str">
            <v>Nº do Evento</v>
          </cell>
        </row>
        <row r="15">
          <cell r="A15" t="str">
            <v/>
          </cell>
          <cell r="B15" t="str">
            <v/>
          </cell>
          <cell r="C15">
            <v>0</v>
          </cell>
          <cell r="D15" t="str">
            <v/>
          </cell>
          <cell r="E15">
            <v>0</v>
          </cell>
          <cell r="F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</row>
        <row r="16">
          <cell r="C16">
            <v>1</v>
          </cell>
        </row>
        <row r="17">
          <cell r="C17" t="str">
            <v xml:space="preserve"> </v>
          </cell>
        </row>
        <row r="18">
          <cell r="C18" t="str">
            <v xml:space="preserve"> </v>
          </cell>
        </row>
        <row r="19">
          <cell r="C19" t="str">
            <v xml:space="preserve"> </v>
          </cell>
        </row>
        <row r="20">
          <cell r="C20" t="str">
            <v xml:space="preserve"> </v>
          </cell>
        </row>
        <row r="21">
          <cell r="C21" t="str">
            <v xml:space="preserve"> </v>
          </cell>
        </row>
        <row r="22">
          <cell r="C22" t="str">
            <v xml:space="preserve"> </v>
          </cell>
        </row>
        <row r="23">
          <cell r="C23" t="str">
            <v xml:space="preserve"> </v>
          </cell>
        </row>
        <row r="24">
          <cell r="C24" t="str">
            <v xml:space="preserve"> </v>
          </cell>
        </row>
        <row r="25">
          <cell r="C25" t="str">
            <v xml:space="preserve"> </v>
          </cell>
        </row>
        <row r="26">
          <cell r="C26" t="str">
            <v xml:space="preserve"> </v>
          </cell>
        </row>
        <row r="27">
          <cell r="C27" t="str">
            <v xml:space="preserve"> </v>
          </cell>
        </row>
        <row r="28">
          <cell r="C28" t="str">
            <v xml:space="preserve"> </v>
          </cell>
        </row>
        <row r="29">
          <cell r="C29" t="str">
            <v xml:space="preserve"> </v>
          </cell>
        </row>
        <row r="30">
          <cell r="C30" t="str">
            <v xml:space="preserve"> </v>
          </cell>
        </row>
        <row r="31">
          <cell r="C31" t="str">
            <v xml:space="preserve"> </v>
          </cell>
        </row>
        <row r="32">
          <cell r="C32" t="str">
            <v xml:space="preserve"> </v>
          </cell>
        </row>
        <row r="33">
          <cell r="C33" t="str">
            <v xml:space="preserve"> </v>
          </cell>
        </row>
        <row r="34">
          <cell r="C34" t="str">
            <v xml:space="preserve"> </v>
          </cell>
        </row>
        <row r="35">
          <cell r="C35" t="str">
            <v xml:space="preserve"> </v>
          </cell>
        </row>
        <row r="36">
          <cell r="C36" t="str">
            <v xml:space="preserve"> </v>
          </cell>
        </row>
        <row r="37">
          <cell r="C37" t="str">
            <v xml:space="preserve"> </v>
          </cell>
        </row>
        <row r="38">
          <cell r="C38" t="str">
            <v xml:space="preserve"> </v>
          </cell>
        </row>
        <row r="39">
          <cell r="C39" t="str">
            <v xml:space="preserve"> </v>
          </cell>
        </row>
        <row r="40">
          <cell r="C40" t="str">
            <v xml:space="preserve"> </v>
          </cell>
        </row>
        <row r="41">
          <cell r="C41" t="str">
            <v xml:space="preserve"> </v>
          </cell>
        </row>
        <row r="42">
          <cell r="C42" t="str">
            <v xml:space="preserve"> </v>
          </cell>
        </row>
        <row r="43">
          <cell r="C43" t="str">
            <v xml:space="preserve"> </v>
          </cell>
        </row>
        <row r="44">
          <cell r="C44" t="str">
            <v xml:space="preserve"> </v>
          </cell>
        </row>
        <row r="45">
          <cell r="C45" t="str">
            <v xml:space="preserve"> </v>
          </cell>
        </row>
        <row r="46">
          <cell r="C46" t="str">
            <v xml:space="preserve"> </v>
          </cell>
        </row>
        <row r="47">
          <cell r="C47" t="str">
            <v xml:space="preserve"> </v>
          </cell>
        </row>
        <row r="48">
          <cell r="C48" t="str">
            <v xml:space="preserve"> </v>
          </cell>
        </row>
        <row r="49">
          <cell r="C49" t="str">
            <v xml:space="preserve"> </v>
          </cell>
        </row>
        <row r="50">
          <cell r="C50" t="str">
            <v xml:space="preserve"> </v>
          </cell>
        </row>
        <row r="51">
          <cell r="C51" t="str">
            <v xml:space="preserve"> </v>
          </cell>
        </row>
        <row r="52">
          <cell r="C52" t="str">
            <v xml:space="preserve"> </v>
          </cell>
        </row>
        <row r="53">
          <cell r="C53" t="str">
            <v xml:space="preserve"> </v>
          </cell>
        </row>
        <row r="54">
          <cell r="C54" t="str">
            <v xml:space="preserve"> </v>
          </cell>
        </row>
        <row r="55">
          <cell r="C55" t="str">
            <v xml:space="preserve"> </v>
          </cell>
        </row>
        <row r="56">
          <cell r="C56" t="str">
            <v xml:space="preserve"> </v>
          </cell>
        </row>
        <row r="57">
          <cell r="C57" t="str">
            <v xml:space="preserve"> </v>
          </cell>
        </row>
        <row r="58">
          <cell r="C58" t="str">
            <v xml:space="preserve"> </v>
          </cell>
        </row>
        <row r="59">
          <cell r="C59" t="str">
            <v xml:space="preserve"> </v>
          </cell>
        </row>
        <row r="60">
          <cell r="C60" t="str">
            <v xml:space="preserve"> </v>
          </cell>
        </row>
        <row r="61">
          <cell r="C61" t="str">
            <v xml:space="preserve"> </v>
          </cell>
        </row>
        <row r="62">
          <cell r="C62" t="str">
            <v xml:space="preserve"> </v>
          </cell>
        </row>
        <row r="63">
          <cell r="C63" t="str">
            <v xml:space="preserve"> </v>
          </cell>
        </row>
        <row r="64">
          <cell r="C64" t="str">
            <v xml:space="preserve"> </v>
          </cell>
        </row>
      </sheetData>
      <sheetData sheetId="6">
        <row r="1">
          <cell r="M1">
            <v>0</v>
          </cell>
        </row>
        <row r="11">
          <cell r="A11" t="str">
            <v>Sem Adm</v>
          </cell>
        </row>
        <row r="12">
          <cell r="A12">
            <v>2</v>
          </cell>
          <cell r="AA12" t="str">
            <v>.</v>
          </cell>
        </row>
        <row r="15">
          <cell r="M15">
            <v>0</v>
          </cell>
          <cell r="Q15">
            <v>0</v>
          </cell>
        </row>
        <row r="16">
          <cell r="M16" t="str">
            <v/>
          </cell>
        </row>
        <row r="17">
          <cell r="M17" t="str">
            <v/>
          </cell>
        </row>
        <row r="18">
          <cell r="M18">
            <v>1</v>
          </cell>
        </row>
        <row r="19">
          <cell r="M19">
            <v>1</v>
          </cell>
        </row>
        <row r="20">
          <cell r="M20">
            <v>1</v>
          </cell>
        </row>
        <row r="21">
          <cell r="M21" t="str">
            <v/>
          </cell>
        </row>
        <row r="22">
          <cell r="M22">
            <v>2</v>
          </cell>
        </row>
        <row r="23">
          <cell r="M23">
            <v>2</v>
          </cell>
        </row>
        <row r="24">
          <cell r="M24">
            <v>2</v>
          </cell>
        </row>
        <row r="25">
          <cell r="M25">
            <v>2</v>
          </cell>
        </row>
        <row r="26">
          <cell r="M26">
            <v>2</v>
          </cell>
        </row>
        <row r="27">
          <cell r="M27" t="str">
            <v/>
          </cell>
        </row>
        <row r="28">
          <cell r="M28">
            <v>3</v>
          </cell>
        </row>
        <row r="29">
          <cell r="M29">
            <v>3</v>
          </cell>
        </row>
        <row r="30">
          <cell r="M30">
            <v>3</v>
          </cell>
        </row>
        <row r="31">
          <cell r="M31">
            <v>3</v>
          </cell>
        </row>
        <row r="32">
          <cell r="M32">
            <v>3</v>
          </cell>
        </row>
        <row r="33">
          <cell r="M33">
            <v>3</v>
          </cell>
        </row>
        <row r="34">
          <cell r="M34">
            <v>3</v>
          </cell>
        </row>
        <row r="35">
          <cell r="M35">
            <v>3</v>
          </cell>
        </row>
        <row r="36">
          <cell r="M36">
            <v>3</v>
          </cell>
        </row>
        <row r="37">
          <cell r="M37">
            <v>3</v>
          </cell>
        </row>
        <row r="38">
          <cell r="M38" t="str">
            <v/>
          </cell>
        </row>
        <row r="39">
          <cell r="M39">
            <v>4</v>
          </cell>
        </row>
        <row r="40">
          <cell r="M40">
            <v>4</v>
          </cell>
        </row>
        <row r="41">
          <cell r="M41">
            <v>4</v>
          </cell>
        </row>
        <row r="42">
          <cell r="M42">
            <v>4</v>
          </cell>
        </row>
        <row r="43">
          <cell r="M43">
            <v>4</v>
          </cell>
        </row>
        <row r="44">
          <cell r="M44">
            <v>4</v>
          </cell>
        </row>
        <row r="45">
          <cell r="M45">
            <v>4</v>
          </cell>
        </row>
        <row r="46">
          <cell r="M46">
            <v>4</v>
          </cell>
        </row>
        <row r="47">
          <cell r="M47" t="str">
            <v/>
          </cell>
        </row>
        <row r="48">
          <cell r="M48">
            <v>5</v>
          </cell>
        </row>
        <row r="49">
          <cell r="M49" t="str">
            <v/>
          </cell>
        </row>
        <row r="50">
          <cell r="M50">
            <v>6</v>
          </cell>
        </row>
        <row r="51">
          <cell r="M51">
            <v>6</v>
          </cell>
        </row>
        <row r="52">
          <cell r="M52">
            <v>6</v>
          </cell>
        </row>
        <row r="53">
          <cell r="M53">
            <v>6</v>
          </cell>
        </row>
        <row r="54">
          <cell r="M54" t="str">
            <v/>
          </cell>
        </row>
        <row r="55">
          <cell r="M55">
            <v>7</v>
          </cell>
        </row>
        <row r="56">
          <cell r="M56">
            <v>7</v>
          </cell>
        </row>
        <row r="57">
          <cell r="M57">
            <v>7</v>
          </cell>
        </row>
        <row r="58">
          <cell r="M58" t="str">
            <v/>
          </cell>
        </row>
        <row r="59">
          <cell r="M59">
            <v>8</v>
          </cell>
        </row>
        <row r="60">
          <cell r="M60">
            <v>8</v>
          </cell>
        </row>
        <row r="61">
          <cell r="M61">
            <v>8</v>
          </cell>
        </row>
        <row r="62">
          <cell r="M62">
            <v>8</v>
          </cell>
        </row>
        <row r="63">
          <cell r="M63">
            <v>8</v>
          </cell>
        </row>
        <row r="64">
          <cell r="M64">
            <v>8</v>
          </cell>
        </row>
        <row r="65">
          <cell r="M65">
            <v>8</v>
          </cell>
        </row>
        <row r="66">
          <cell r="M66" t="str">
            <v/>
          </cell>
        </row>
        <row r="67">
          <cell r="M67">
            <v>9</v>
          </cell>
        </row>
        <row r="68">
          <cell r="M68">
            <v>9</v>
          </cell>
        </row>
        <row r="69">
          <cell r="M69">
            <v>9</v>
          </cell>
        </row>
        <row r="70">
          <cell r="M70">
            <v>9</v>
          </cell>
        </row>
        <row r="71">
          <cell r="M71" t="str">
            <v/>
          </cell>
        </row>
        <row r="72">
          <cell r="M72">
            <v>10</v>
          </cell>
        </row>
        <row r="73">
          <cell r="M73">
            <v>10</v>
          </cell>
        </row>
        <row r="74">
          <cell r="M74">
            <v>10</v>
          </cell>
        </row>
        <row r="75">
          <cell r="M75">
            <v>10</v>
          </cell>
        </row>
        <row r="76">
          <cell r="M76">
            <v>10</v>
          </cell>
        </row>
        <row r="77">
          <cell r="M77" t="str">
            <v/>
          </cell>
        </row>
        <row r="78">
          <cell r="M78">
            <v>11</v>
          </cell>
        </row>
        <row r="79">
          <cell r="M79">
            <v>11</v>
          </cell>
        </row>
        <row r="80">
          <cell r="M80">
            <v>11</v>
          </cell>
        </row>
        <row r="81">
          <cell r="M81">
            <v>11</v>
          </cell>
        </row>
        <row r="82">
          <cell r="M82">
            <v>11</v>
          </cell>
        </row>
        <row r="83">
          <cell r="M83">
            <v>11</v>
          </cell>
        </row>
        <row r="84">
          <cell r="M84">
            <v>11</v>
          </cell>
        </row>
        <row r="85">
          <cell r="M85">
            <v>11</v>
          </cell>
        </row>
        <row r="86">
          <cell r="M86">
            <v>11</v>
          </cell>
        </row>
        <row r="87">
          <cell r="M87">
            <v>11</v>
          </cell>
        </row>
        <row r="88">
          <cell r="M88" t="str">
            <v/>
          </cell>
        </row>
        <row r="89">
          <cell r="M89">
            <v>12</v>
          </cell>
        </row>
        <row r="90">
          <cell r="M90">
            <v>12</v>
          </cell>
        </row>
        <row r="91">
          <cell r="M91">
            <v>12</v>
          </cell>
        </row>
        <row r="92">
          <cell r="M92">
            <v>12</v>
          </cell>
        </row>
        <row r="93">
          <cell r="M93">
            <v>12</v>
          </cell>
        </row>
        <row r="94">
          <cell r="M94">
            <v>12</v>
          </cell>
        </row>
        <row r="95">
          <cell r="M95">
            <v>12</v>
          </cell>
        </row>
        <row r="96">
          <cell r="M96">
            <v>12</v>
          </cell>
        </row>
        <row r="97">
          <cell r="M97">
            <v>12</v>
          </cell>
        </row>
        <row r="98">
          <cell r="M98">
            <v>12</v>
          </cell>
        </row>
        <row r="99">
          <cell r="M99">
            <v>12</v>
          </cell>
        </row>
        <row r="100">
          <cell r="M100">
            <v>12</v>
          </cell>
        </row>
        <row r="101">
          <cell r="M101">
            <v>12</v>
          </cell>
        </row>
        <row r="102">
          <cell r="M102">
            <v>12</v>
          </cell>
        </row>
        <row r="103">
          <cell r="M103">
            <v>12</v>
          </cell>
        </row>
        <row r="104">
          <cell r="M104">
            <v>12</v>
          </cell>
        </row>
        <row r="105">
          <cell r="M105">
            <v>12</v>
          </cell>
        </row>
        <row r="106">
          <cell r="M106">
            <v>12</v>
          </cell>
        </row>
        <row r="107">
          <cell r="M107">
            <v>12</v>
          </cell>
        </row>
        <row r="108">
          <cell r="M108">
            <v>12</v>
          </cell>
        </row>
        <row r="109">
          <cell r="M109">
            <v>12</v>
          </cell>
        </row>
        <row r="110">
          <cell r="M110">
            <v>12</v>
          </cell>
        </row>
        <row r="111">
          <cell r="M111">
            <v>12</v>
          </cell>
        </row>
        <row r="112">
          <cell r="M112">
            <v>12</v>
          </cell>
        </row>
        <row r="113">
          <cell r="M113">
            <v>12</v>
          </cell>
        </row>
        <row r="114">
          <cell r="M114">
            <v>12</v>
          </cell>
        </row>
        <row r="115">
          <cell r="M115">
            <v>12</v>
          </cell>
        </row>
        <row r="116">
          <cell r="M116">
            <v>12</v>
          </cell>
        </row>
        <row r="117">
          <cell r="M117">
            <v>12</v>
          </cell>
        </row>
        <row r="118">
          <cell r="M118">
            <v>12</v>
          </cell>
        </row>
        <row r="119">
          <cell r="M119">
            <v>12</v>
          </cell>
        </row>
        <row r="120">
          <cell r="M120">
            <v>12</v>
          </cell>
        </row>
        <row r="121">
          <cell r="M121">
            <v>12</v>
          </cell>
        </row>
        <row r="122">
          <cell r="M122">
            <v>12</v>
          </cell>
        </row>
        <row r="123">
          <cell r="M123" t="str">
            <v/>
          </cell>
        </row>
        <row r="124">
          <cell r="M124">
            <v>13</v>
          </cell>
        </row>
        <row r="125">
          <cell r="M125">
            <v>13</v>
          </cell>
        </row>
        <row r="126">
          <cell r="M126">
            <v>13</v>
          </cell>
        </row>
        <row r="127">
          <cell r="M127">
            <v>13</v>
          </cell>
        </row>
        <row r="128">
          <cell r="M128">
            <v>13</v>
          </cell>
        </row>
        <row r="129">
          <cell r="M129">
            <v>13</v>
          </cell>
        </row>
        <row r="130">
          <cell r="M130">
            <v>13</v>
          </cell>
        </row>
        <row r="131">
          <cell r="M131">
            <v>13</v>
          </cell>
        </row>
        <row r="132">
          <cell r="M132">
            <v>13</v>
          </cell>
        </row>
        <row r="133">
          <cell r="M133">
            <v>13</v>
          </cell>
        </row>
        <row r="134">
          <cell r="M134">
            <v>13</v>
          </cell>
        </row>
        <row r="135">
          <cell r="M135">
            <v>13</v>
          </cell>
        </row>
        <row r="136">
          <cell r="M136">
            <v>13</v>
          </cell>
        </row>
        <row r="137">
          <cell r="M137">
            <v>13</v>
          </cell>
        </row>
        <row r="138">
          <cell r="M138">
            <v>13</v>
          </cell>
        </row>
        <row r="139">
          <cell r="M139">
            <v>13</v>
          </cell>
        </row>
        <row r="140">
          <cell r="M140">
            <v>13</v>
          </cell>
        </row>
        <row r="141">
          <cell r="M141" t="str">
            <v/>
          </cell>
        </row>
        <row r="142">
          <cell r="M142">
            <v>14</v>
          </cell>
        </row>
        <row r="143">
          <cell r="M143" t="str">
            <v/>
          </cell>
        </row>
        <row r="144">
          <cell r="M144">
            <v>15</v>
          </cell>
        </row>
        <row r="145">
          <cell r="M145" t="str">
            <v/>
          </cell>
        </row>
        <row r="146">
          <cell r="M146">
            <v>16</v>
          </cell>
        </row>
        <row r="147">
          <cell r="M147">
            <v>16</v>
          </cell>
        </row>
        <row r="148">
          <cell r="M148">
            <v>16</v>
          </cell>
        </row>
        <row r="149">
          <cell r="M149" t="str">
            <v/>
          </cell>
        </row>
        <row r="150">
          <cell r="M150">
            <v>17</v>
          </cell>
        </row>
        <row r="151">
          <cell r="M151">
            <v>17</v>
          </cell>
        </row>
      </sheetData>
      <sheetData sheetId="7">
        <row r="6">
          <cell r="B6" t="str">
            <v>NO ACOMPANHAMENTO POR BM, UTILIZE A ABA CRONO</v>
          </cell>
        </row>
        <row r="15">
          <cell r="F15" t="str">
            <v/>
          </cell>
        </row>
      </sheetData>
      <sheetData sheetId="8">
        <row r="10">
          <cell r="H10">
            <v>2</v>
          </cell>
        </row>
        <row r="74">
          <cell r="U74">
            <v>0.5824830491910542</v>
          </cell>
          <cell r="V74">
            <v>0.84940668249125417</v>
          </cell>
          <cell r="W74">
            <v>0.94700161172482777</v>
          </cell>
          <cell r="X74">
            <v>1</v>
          </cell>
          <cell r="Y74">
            <v>1</v>
          </cell>
          <cell r="Z74">
            <v>1</v>
          </cell>
          <cell r="AA74">
            <v>1</v>
          </cell>
          <cell r="AB74">
            <v>1</v>
          </cell>
          <cell r="AC74">
            <v>1</v>
          </cell>
          <cell r="AD74">
            <v>1</v>
          </cell>
          <cell r="AE74">
            <v>1</v>
          </cell>
          <cell r="AF74">
            <v>1</v>
          </cell>
        </row>
        <row r="79">
          <cell r="H79" t="str">
            <v>1.17. ADMINISTRAÇÃO LOCAL</v>
          </cell>
        </row>
      </sheetData>
      <sheetData sheetId="9">
        <row r="13">
          <cell r="B13" t="str">
            <v>Busca</v>
          </cell>
          <cell r="E13" t="str">
            <v>Item de Investimento</v>
          </cell>
          <cell r="F13" t="str">
            <v>Subitem de Investimento</v>
          </cell>
          <cell r="H13" t="str">
            <v>Situação</v>
          </cell>
          <cell r="I13" t="str">
            <v>Quantidade</v>
          </cell>
          <cell r="O13" t="str">
            <v>Investimento (R$)</v>
          </cell>
          <cell r="R13" t="str">
            <v>Descrição da Meta</v>
          </cell>
          <cell r="T13" t="str">
            <v>Lote de Licitação / nº do CTEF</v>
          </cell>
          <cell r="U13" t="str">
            <v>Investimento (R$)</v>
          </cell>
          <cell r="V13" t="str">
            <v>Divisão do Investimento</v>
          </cell>
          <cell r="W13" t="str">
            <v>Contrapartida Financeira (R$)</v>
          </cell>
          <cell r="X13" t="str">
            <v>Outros (R$)</v>
          </cell>
        </row>
        <row r="14">
          <cell r="B14" t="str">
            <v>Automático</v>
          </cell>
          <cell r="O14">
            <v>306156.48</v>
          </cell>
          <cell r="AA14">
            <v>19656.479999999974</v>
          </cell>
          <cell r="AB14">
            <v>0</v>
          </cell>
        </row>
        <row r="15">
          <cell r="B15" t="str">
            <v>Branco</v>
          </cell>
          <cell r="O15">
            <v>0</v>
          </cell>
          <cell r="AA15">
            <v>0</v>
          </cell>
          <cell r="AB15">
            <v>0</v>
          </cell>
        </row>
        <row r="16">
          <cell r="B16" t="str">
            <v>Branco</v>
          </cell>
          <cell r="O16">
            <v>0</v>
          </cell>
          <cell r="AA16">
            <v>0</v>
          </cell>
          <cell r="AB16">
            <v>0</v>
          </cell>
        </row>
        <row r="17">
          <cell r="B17" t="str">
            <v>Branco</v>
          </cell>
          <cell r="O17">
            <v>0</v>
          </cell>
          <cell r="AA17">
            <v>0</v>
          </cell>
          <cell r="AB17">
            <v>0</v>
          </cell>
        </row>
        <row r="18">
          <cell r="B18" t="str">
            <v>Branco</v>
          </cell>
          <cell r="O18">
            <v>0</v>
          </cell>
          <cell r="AA18">
            <v>0</v>
          </cell>
          <cell r="AB18">
            <v>0</v>
          </cell>
        </row>
        <row r="19">
          <cell r="B19" t="str">
            <v>Branco</v>
          </cell>
          <cell r="O19">
            <v>0</v>
          </cell>
          <cell r="AA19">
            <v>0</v>
          </cell>
          <cell r="AB19">
            <v>0</v>
          </cell>
        </row>
        <row r="20">
          <cell r="B20" t="str">
            <v>Branco</v>
          </cell>
          <cell r="O20">
            <v>0</v>
          </cell>
          <cell r="AA20">
            <v>0</v>
          </cell>
          <cell r="AB20">
            <v>0</v>
          </cell>
        </row>
        <row r="21">
          <cell r="B21" t="str">
            <v>Branco</v>
          </cell>
          <cell r="O21">
            <v>0</v>
          </cell>
          <cell r="AA21">
            <v>0</v>
          </cell>
          <cell r="AB21">
            <v>0</v>
          </cell>
        </row>
        <row r="22">
          <cell r="B22" t="str">
            <v>Branco</v>
          </cell>
          <cell r="O22">
            <v>0</v>
          </cell>
          <cell r="AA22">
            <v>0</v>
          </cell>
          <cell r="AB22">
            <v>0</v>
          </cell>
        </row>
        <row r="23">
          <cell r="B23" t="str">
            <v>Branco</v>
          </cell>
          <cell r="O23">
            <v>0</v>
          </cell>
          <cell r="AA23">
            <v>0</v>
          </cell>
          <cell r="AB23">
            <v>0</v>
          </cell>
        </row>
        <row r="24">
          <cell r="B24" t="str">
            <v>TR$</v>
          </cell>
          <cell r="O24">
            <v>306156.48</v>
          </cell>
          <cell r="AA24">
            <v>19656.48</v>
          </cell>
          <cell r="AB24">
            <v>0</v>
          </cell>
        </row>
      </sheetData>
      <sheetData sheetId="10">
        <row r="9">
          <cell r="J9">
            <v>1</v>
          </cell>
        </row>
        <row r="15">
          <cell r="A15" t="str">
            <v/>
          </cell>
          <cell r="B15">
            <v>0</v>
          </cell>
          <cell r="C15" t="str">
            <v/>
          </cell>
          <cell r="H15" t="str">
            <v>Para aplicação de Adm. Local é necessário definir os eventos manualmente.</v>
          </cell>
        </row>
        <row r="65">
          <cell r="A65" t="str">
            <v>F</v>
          </cell>
        </row>
      </sheetData>
      <sheetData sheetId="11">
        <row r="3">
          <cell r="A3" t="b">
            <v>0</v>
          </cell>
        </row>
        <row r="7">
          <cell r="O7" t="str">
            <v>Nº MEDIÇÃO</v>
          </cell>
        </row>
        <row r="9">
          <cell r="A9" t="b">
            <v>1</v>
          </cell>
        </row>
        <row r="13">
          <cell r="AB13">
            <v>1</v>
          </cell>
          <cell r="AC13">
            <v>2</v>
          </cell>
          <cell r="AD13">
            <v>3</v>
          </cell>
          <cell r="AE13">
            <v>4</v>
          </cell>
          <cell r="AF13">
            <v>5</v>
          </cell>
          <cell r="AG13">
            <v>6</v>
          </cell>
          <cell r="AH13">
            <v>7</v>
          </cell>
          <cell r="AI13">
            <v>8</v>
          </cell>
          <cell r="AJ13">
            <v>9</v>
          </cell>
          <cell r="AK13">
            <v>10</v>
          </cell>
          <cell r="AL13">
            <v>11</v>
          </cell>
          <cell r="AM13">
            <v>12</v>
          </cell>
        </row>
      </sheetData>
      <sheetData sheetId="12">
        <row r="7">
          <cell r="O7">
            <v>302031.48</v>
          </cell>
        </row>
        <row r="26">
          <cell r="AC26">
            <v>0</v>
          </cell>
          <cell r="AD26">
            <v>0</v>
          </cell>
        </row>
        <row r="27">
          <cell r="AC27">
            <v>0</v>
          </cell>
          <cell r="AD27">
            <v>0</v>
          </cell>
        </row>
      </sheetData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66C2BD-9EFD-462D-A440-EC8AC51A7553}">
  <sheetPr codeName="Planilha3"/>
  <dimension ref="A1:Q138"/>
  <sheetViews>
    <sheetView tabSelected="1" workbookViewId="0">
      <pane ySplit="1" topLeftCell="A2" activePane="bottomLeft" state="frozen"/>
      <selection activeCell="K1" sqref="K1"/>
      <selection pane="bottomLeft"/>
    </sheetView>
  </sheetViews>
  <sheetFormatPr defaultColWidth="9.140625" defaultRowHeight="15" x14ac:dyDescent="0.25"/>
  <cols>
    <col min="1" max="1" width="15" style="3" customWidth="1"/>
    <col min="2" max="2" width="25" style="3" customWidth="1"/>
    <col min="3" max="3" width="12" style="3" customWidth="1"/>
    <col min="4" max="4" width="15.5703125" style="12" customWidth="1"/>
    <col min="5" max="5" width="70" style="3" customWidth="1"/>
    <col min="6" max="6" width="20" style="3" customWidth="1"/>
    <col min="7" max="7" width="10" style="3" customWidth="1"/>
    <col min="8" max="8" width="25" style="3" customWidth="1"/>
    <col min="9" max="9" width="15" style="3" customWidth="1"/>
    <col min="10" max="10" width="13" style="3" customWidth="1"/>
    <col min="11" max="12" width="35" style="3" customWidth="1"/>
    <col min="13" max="14" width="20" style="3" customWidth="1"/>
    <col min="15" max="15" width="50" style="3" customWidth="1"/>
    <col min="16" max="16" width="15" style="3" customWidth="1"/>
    <col min="17" max="17" width="17.5703125" style="3" customWidth="1"/>
    <col min="18" max="16384" width="9.140625" style="3"/>
  </cols>
  <sheetData>
    <row r="1" spans="1:17" x14ac:dyDescent="0.25">
      <c r="A1" s="1" t="s">
        <v>0</v>
      </c>
      <c r="B1" s="1" t="s">
        <v>1</v>
      </c>
      <c r="C1" s="1" t="s">
        <v>2</v>
      </c>
      <c r="D1" s="2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pans="1:17" ht="45" customHeight="1" x14ac:dyDescent="0.25">
      <c r="A2" s="4" t="s">
        <v>17</v>
      </c>
      <c r="B2" s="5" t="s">
        <v>18</v>
      </c>
      <c r="C2" s="4"/>
      <c r="D2" s="4"/>
      <c r="E2" s="4" t="s">
        <v>19</v>
      </c>
      <c r="F2" s="6"/>
      <c r="G2" s="4"/>
      <c r="H2" s="7"/>
      <c r="I2" s="7"/>
      <c r="J2" s="8"/>
      <c r="K2" s="9"/>
      <c r="L2" s="9">
        <f>10241.76</f>
        <v>10241.76</v>
      </c>
      <c r="M2" s="4"/>
      <c r="N2" s="10"/>
      <c r="O2" s="4"/>
      <c r="P2" s="11"/>
      <c r="Q2" s="9"/>
    </row>
    <row r="3" spans="1:17" ht="45" customHeight="1" x14ac:dyDescent="0.25">
      <c r="A3" s="4" t="s">
        <v>20</v>
      </c>
      <c r="B3" s="5" t="s">
        <v>21</v>
      </c>
      <c r="C3" s="4" t="s">
        <v>22</v>
      </c>
      <c r="D3" s="4" t="s">
        <v>23</v>
      </c>
      <c r="E3" s="4" t="s">
        <v>24</v>
      </c>
      <c r="F3" s="6">
        <f>8</f>
        <v>8</v>
      </c>
      <c r="G3" s="4" t="s">
        <v>25</v>
      </c>
      <c r="H3" s="7">
        <v>455.21</v>
      </c>
      <c r="I3" s="7">
        <v>455.21</v>
      </c>
      <c r="J3" s="8">
        <v>0.25</v>
      </c>
      <c r="K3" s="9">
        <f>569.01</f>
        <v>569.01</v>
      </c>
      <c r="L3" s="9">
        <f>4552.08</f>
        <v>4552.08</v>
      </c>
      <c r="M3" s="4"/>
      <c r="N3" s="10">
        <v>1</v>
      </c>
      <c r="O3" s="4" t="s">
        <v>26</v>
      </c>
      <c r="P3" s="11">
        <v>8</v>
      </c>
      <c r="Q3" s="9">
        <f>4552.08</f>
        <v>4552.08</v>
      </c>
    </row>
    <row r="4" spans="1:17" ht="45" customHeight="1" x14ac:dyDescent="0.25">
      <c r="A4" s="4" t="s">
        <v>20</v>
      </c>
      <c r="B4" s="5" t="s">
        <v>27</v>
      </c>
      <c r="C4" s="4" t="s">
        <v>22</v>
      </c>
      <c r="D4" s="4" t="s">
        <v>28</v>
      </c>
      <c r="E4" s="4" t="s">
        <v>29</v>
      </c>
      <c r="F4" s="6">
        <f>72</f>
        <v>72</v>
      </c>
      <c r="G4" s="4" t="s">
        <v>30</v>
      </c>
      <c r="H4" s="7">
        <v>60.34</v>
      </c>
      <c r="I4" s="7">
        <v>60.34</v>
      </c>
      <c r="J4" s="8">
        <v>0.25</v>
      </c>
      <c r="K4" s="9">
        <f>75.43</f>
        <v>75.430000000000007</v>
      </c>
      <c r="L4" s="9">
        <f>5430.96</f>
        <v>5430.96</v>
      </c>
      <c r="M4" s="4"/>
      <c r="N4" s="10">
        <v>1</v>
      </c>
      <c r="O4" s="4" t="s">
        <v>26</v>
      </c>
      <c r="P4" s="11">
        <v>72</v>
      </c>
      <c r="Q4" s="9">
        <f>5430.96</f>
        <v>5430.96</v>
      </c>
    </row>
    <row r="5" spans="1:17" ht="45" customHeight="1" x14ac:dyDescent="0.25">
      <c r="A5" s="4" t="s">
        <v>20</v>
      </c>
      <c r="B5" s="5" t="s">
        <v>31</v>
      </c>
      <c r="C5" s="4" t="s">
        <v>22</v>
      </c>
      <c r="D5" s="4" t="s">
        <v>32</v>
      </c>
      <c r="E5" s="4" t="s">
        <v>33</v>
      </c>
      <c r="F5" s="6">
        <f>308</f>
        <v>308</v>
      </c>
      <c r="G5" s="4" t="s">
        <v>25</v>
      </c>
      <c r="H5" s="7">
        <v>0.67</v>
      </c>
      <c r="I5" s="7">
        <v>0.67</v>
      </c>
      <c r="J5" s="8">
        <v>0.25</v>
      </c>
      <c r="K5" s="9">
        <f>0.84</f>
        <v>0.84</v>
      </c>
      <c r="L5" s="9">
        <f>258.72</f>
        <v>258.72000000000003</v>
      </c>
      <c r="M5" s="4"/>
      <c r="N5" s="10">
        <v>1</v>
      </c>
      <c r="O5" s="4" t="s">
        <v>26</v>
      </c>
      <c r="P5" s="11">
        <v>308</v>
      </c>
      <c r="Q5" s="9">
        <f>258.72</f>
        <v>258.72000000000003</v>
      </c>
    </row>
    <row r="6" spans="1:17" ht="45" customHeight="1" x14ac:dyDescent="0.25">
      <c r="A6" s="4" t="s">
        <v>17</v>
      </c>
      <c r="B6" s="5" t="s">
        <v>34</v>
      </c>
      <c r="C6" s="4"/>
      <c r="D6" s="4"/>
      <c r="E6" s="4" t="s">
        <v>35</v>
      </c>
      <c r="F6" s="6"/>
      <c r="G6" s="4"/>
      <c r="H6" s="7"/>
      <c r="I6" s="7"/>
      <c r="J6" s="8"/>
      <c r="K6" s="9"/>
      <c r="L6" s="9">
        <f>4266.89</f>
        <v>4266.8900000000003</v>
      </c>
      <c r="M6" s="4"/>
      <c r="N6" s="10"/>
      <c r="O6" s="4"/>
      <c r="P6" s="11"/>
      <c r="Q6" s="9"/>
    </row>
    <row r="7" spans="1:17" ht="45" customHeight="1" x14ac:dyDescent="0.25">
      <c r="A7" s="4" t="s">
        <v>20</v>
      </c>
      <c r="B7" s="5" t="s">
        <v>36</v>
      </c>
      <c r="C7" s="4" t="s">
        <v>37</v>
      </c>
      <c r="D7" s="4" t="s">
        <v>38</v>
      </c>
      <c r="E7" s="4" t="s">
        <v>39</v>
      </c>
      <c r="F7" s="6">
        <f>30</f>
        <v>30</v>
      </c>
      <c r="G7" s="4" t="s">
        <v>30</v>
      </c>
      <c r="H7" s="7">
        <v>74.569999999999993</v>
      </c>
      <c r="I7" s="7">
        <v>74.569999999999993</v>
      </c>
      <c r="J7" s="8">
        <v>0.25</v>
      </c>
      <c r="K7" s="9">
        <f>93.21</f>
        <v>93.21</v>
      </c>
      <c r="L7" s="9">
        <f>2796.3</f>
        <v>2796.3</v>
      </c>
      <c r="M7" s="4"/>
      <c r="N7" s="10">
        <v>1</v>
      </c>
      <c r="O7" s="4" t="s">
        <v>26</v>
      </c>
      <c r="P7" s="11">
        <v>30</v>
      </c>
      <c r="Q7" s="9">
        <f>2796.3</f>
        <v>2796.3</v>
      </c>
    </row>
    <row r="8" spans="1:17" ht="45" customHeight="1" x14ac:dyDescent="0.25">
      <c r="A8" s="4" t="s">
        <v>20</v>
      </c>
      <c r="B8" s="5" t="s">
        <v>40</v>
      </c>
      <c r="C8" s="4" t="s">
        <v>37</v>
      </c>
      <c r="D8" s="4" t="s">
        <v>41</v>
      </c>
      <c r="E8" s="4" t="s">
        <v>42</v>
      </c>
      <c r="F8" s="6">
        <f>1</f>
        <v>1</v>
      </c>
      <c r="G8" s="4" t="s">
        <v>43</v>
      </c>
      <c r="H8" s="7">
        <v>41.14</v>
      </c>
      <c r="I8" s="7">
        <v>41.14</v>
      </c>
      <c r="J8" s="8">
        <v>0.25</v>
      </c>
      <c r="K8" s="9">
        <f>51.43</f>
        <v>51.43</v>
      </c>
      <c r="L8" s="9">
        <f>51.43</f>
        <v>51.43</v>
      </c>
      <c r="M8" s="4"/>
      <c r="N8" s="10">
        <v>1</v>
      </c>
      <c r="O8" s="4" t="s">
        <v>26</v>
      </c>
      <c r="P8" s="11">
        <v>1</v>
      </c>
      <c r="Q8" s="9">
        <f>51.43</f>
        <v>51.43</v>
      </c>
    </row>
    <row r="9" spans="1:17" ht="45" customHeight="1" x14ac:dyDescent="0.25">
      <c r="A9" s="4" t="s">
        <v>20</v>
      </c>
      <c r="B9" s="5" t="s">
        <v>44</v>
      </c>
      <c r="C9" s="4" t="s">
        <v>22</v>
      </c>
      <c r="D9" s="4" t="s">
        <v>45</v>
      </c>
      <c r="E9" s="4" t="s">
        <v>46</v>
      </c>
      <c r="F9" s="6">
        <f>14.1</f>
        <v>14.1</v>
      </c>
      <c r="G9" s="4" t="s">
        <v>47</v>
      </c>
      <c r="H9" s="7">
        <v>15.98</v>
      </c>
      <c r="I9" s="7">
        <v>15.98</v>
      </c>
      <c r="J9" s="8">
        <v>0.25</v>
      </c>
      <c r="K9" s="9">
        <f>19.98</f>
        <v>19.98</v>
      </c>
      <c r="L9" s="9">
        <f>281.72</f>
        <v>281.72000000000003</v>
      </c>
      <c r="M9" s="4"/>
      <c r="N9" s="10">
        <v>1</v>
      </c>
      <c r="O9" s="4" t="s">
        <v>26</v>
      </c>
      <c r="P9" s="11">
        <v>14.1</v>
      </c>
      <c r="Q9" s="9">
        <f>281.72</f>
        <v>281.72000000000003</v>
      </c>
    </row>
    <row r="10" spans="1:17" ht="45" customHeight="1" x14ac:dyDescent="0.25">
      <c r="A10" s="4" t="s">
        <v>20</v>
      </c>
      <c r="B10" s="5" t="s">
        <v>48</v>
      </c>
      <c r="C10" s="4" t="s">
        <v>22</v>
      </c>
      <c r="D10" s="4" t="s">
        <v>49</v>
      </c>
      <c r="E10" s="4" t="s">
        <v>50</v>
      </c>
      <c r="F10" s="6">
        <f>56.3</f>
        <v>56.3</v>
      </c>
      <c r="G10" s="4" t="s">
        <v>47</v>
      </c>
      <c r="H10" s="7">
        <v>13.07</v>
      </c>
      <c r="I10" s="7">
        <v>13.07</v>
      </c>
      <c r="J10" s="8">
        <v>0.25</v>
      </c>
      <c r="K10" s="9">
        <f>16.34</f>
        <v>16.34</v>
      </c>
      <c r="L10" s="9">
        <f>919.94</f>
        <v>919.94</v>
      </c>
      <c r="M10" s="4"/>
      <c r="N10" s="10">
        <v>1</v>
      </c>
      <c r="O10" s="4" t="s">
        <v>26</v>
      </c>
      <c r="P10" s="11">
        <v>56.3</v>
      </c>
      <c r="Q10" s="9">
        <f>919.94</f>
        <v>919.94</v>
      </c>
    </row>
    <row r="11" spans="1:17" ht="45" customHeight="1" x14ac:dyDescent="0.25">
      <c r="A11" s="4" t="s">
        <v>20</v>
      </c>
      <c r="B11" s="5" t="s">
        <v>51</v>
      </c>
      <c r="C11" s="4" t="s">
        <v>22</v>
      </c>
      <c r="D11" s="4" t="s">
        <v>52</v>
      </c>
      <c r="E11" s="4" t="s">
        <v>53</v>
      </c>
      <c r="F11" s="6">
        <f>10</f>
        <v>10</v>
      </c>
      <c r="G11" s="4" t="s">
        <v>43</v>
      </c>
      <c r="H11" s="7">
        <v>17.399999999999999</v>
      </c>
      <c r="I11" s="7">
        <v>17.399999999999999</v>
      </c>
      <c r="J11" s="8">
        <v>0.25</v>
      </c>
      <c r="K11" s="9">
        <f>21.75</f>
        <v>21.75</v>
      </c>
      <c r="L11" s="9">
        <f>217.5</f>
        <v>217.5</v>
      </c>
      <c r="M11" s="4"/>
      <c r="N11" s="10">
        <v>1</v>
      </c>
      <c r="O11" s="4" t="s">
        <v>26</v>
      </c>
      <c r="P11" s="11">
        <v>10</v>
      </c>
      <c r="Q11" s="9">
        <f>217.5</f>
        <v>217.5</v>
      </c>
    </row>
    <row r="12" spans="1:17" ht="45" customHeight="1" x14ac:dyDescent="0.25">
      <c r="A12" s="4" t="s">
        <v>17</v>
      </c>
      <c r="B12" s="5" t="s">
        <v>54</v>
      </c>
      <c r="C12" s="4"/>
      <c r="D12" s="4"/>
      <c r="E12" s="4" t="s">
        <v>55</v>
      </c>
      <c r="F12" s="6"/>
      <c r="G12" s="4"/>
      <c r="H12" s="7"/>
      <c r="I12" s="7"/>
      <c r="J12" s="8"/>
      <c r="K12" s="9"/>
      <c r="L12" s="9">
        <f>4911.79</f>
        <v>4911.79</v>
      </c>
      <c r="M12" s="4"/>
      <c r="N12" s="10"/>
      <c r="O12" s="4"/>
      <c r="P12" s="11"/>
      <c r="Q12" s="9"/>
    </row>
    <row r="13" spans="1:17" ht="45" customHeight="1" x14ac:dyDescent="0.25">
      <c r="A13" s="4" t="s">
        <v>20</v>
      </c>
      <c r="B13" s="5" t="s">
        <v>56</v>
      </c>
      <c r="C13" s="4" t="s">
        <v>22</v>
      </c>
      <c r="D13" s="4" t="s">
        <v>57</v>
      </c>
      <c r="E13" s="4" t="s">
        <v>58</v>
      </c>
      <c r="F13" s="6">
        <f>1.66</f>
        <v>1.66</v>
      </c>
      <c r="G13" s="4" t="s">
        <v>59</v>
      </c>
      <c r="H13" s="7">
        <v>89.7</v>
      </c>
      <c r="I13" s="7">
        <v>89.7</v>
      </c>
      <c r="J13" s="8">
        <v>0.25</v>
      </c>
      <c r="K13" s="9">
        <f>112.13</f>
        <v>112.13</v>
      </c>
      <c r="L13" s="9">
        <f>186.14</f>
        <v>186.14</v>
      </c>
      <c r="M13" s="4"/>
      <c r="N13" s="10">
        <v>1</v>
      </c>
      <c r="O13" s="4" t="s">
        <v>26</v>
      </c>
      <c r="P13" s="11">
        <v>1.66</v>
      </c>
      <c r="Q13" s="9">
        <f>186.14</f>
        <v>186.14</v>
      </c>
    </row>
    <row r="14" spans="1:17" ht="45" customHeight="1" x14ac:dyDescent="0.25">
      <c r="A14" s="4" t="s">
        <v>20</v>
      </c>
      <c r="B14" s="5" t="s">
        <v>60</v>
      </c>
      <c r="C14" s="4" t="s">
        <v>22</v>
      </c>
      <c r="D14" s="4" t="s">
        <v>61</v>
      </c>
      <c r="E14" s="4" t="s">
        <v>62</v>
      </c>
      <c r="F14" s="6">
        <f>4.34</f>
        <v>4.34</v>
      </c>
      <c r="G14" s="4" t="s">
        <v>25</v>
      </c>
      <c r="H14" s="7">
        <v>6.02</v>
      </c>
      <c r="I14" s="7">
        <v>6.02</v>
      </c>
      <c r="J14" s="8">
        <v>0.25</v>
      </c>
      <c r="K14" s="9">
        <f>7.53</f>
        <v>7.53</v>
      </c>
      <c r="L14" s="9">
        <f>32.68</f>
        <v>32.68</v>
      </c>
      <c r="M14" s="4"/>
      <c r="N14" s="10">
        <v>1</v>
      </c>
      <c r="O14" s="4" t="s">
        <v>26</v>
      </c>
      <c r="P14" s="11">
        <v>4.34</v>
      </c>
      <c r="Q14" s="9">
        <f>32.68</f>
        <v>32.68</v>
      </c>
    </row>
    <row r="15" spans="1:17" ht="45" customHeight="1" x14ac:dyDescent="0.25">
      <c r="A15" s="4" t="s">
        <v>20</v>
      </c>
      <c r="B15" s="5" t="s">
        <v>63</v>
      </c>
      <c r="C15" s="4" t="s">
        <v>22</v>
      </c>
      <c r="D15" s="4" t="s">
        <v>64</v>
      </c>
      <c r="E15" s="4" t="s">
        <v>65</v>
      </c>
      <c r="F15" s="6">
        <f>0.22</f>
        <v>0.22</v>
      </c>
      <c r="G15" s="4" t="s">
        <v>59</v>
      </c>
      <c r="H15" s="7">
        <v>755.41</v>
      </c>
      <c r="I15" s="7">
        <v>755.41</v>
      </c>
      <c r="J15" s="8">
        <v>0.25</v>
      </c>
      <c r="K15" s="9">
        <f>944.26</f>
        <v>944.26</v>
      </c>
      <c r="L15" s="9">
        <f>207.74</f>
        <v>207.74</v>
      </c>
      <c r="M15" s="4"/>
      <c r="N15" s="10">
        <v>1</v>
      </c>
      <c r="O15" s="4" t="s">
        <v>26</v>
      </c>
      <c r="P15" s="11">
        <v>0.22</v>
      </c>
      <c r="Q15" s="9">
        <f>207.74</f>
        <v>207.74</v>
      </c>
    </row>
    <row r="16" spans="1:17" ht="45" customHeight="1" x14ac:dyDescent="0.25">
      <c r="A16" s="4" t="s">
        <v>20</v>
      </c>
      <c r="B16" s="5" t="s">
        <v>66</v>
      </c>
      <c r="C16" s="4" t="s">
        <v>22</v>
      </c>
      <c r="D16" s="4" t="s">
        <v>67</v>
      </c>
      <c r="E16" s="4" t="s">
        <v>68</v>
      </c>
      <c r="F16" s="6">
        <f>14.42</f>
        <v>14.42</v>
      </c>
      <c r="G16" s="4" t="s">
        <v>25</v>
      </c>
      <c r="H16" s="7">
        <v>69.040000000000006</v>
      </c>
      <c r="I16" s="7">
        <v>69.040000000000006</v>
      </c>
      <c r="J16" s="8">
        <v>0.25</v>
      </c>
      <c r="K16" s="9">
        <f>86.3</f>
        <v>86.3</v>
      </c>
      <c r="L16" s="9">
        <f>1244.45</f>
        <v>1244.45</v>
      </c>
      <c r="M16" s="4"/>
      <c r="N16" s="10">
        <v>1</v>
      </c>
      <c r="O16" s="4" t="s">
        <v>26</v>
      </c>
      <c r="P16" s="11">
        <v>14.42</v>
      </c>
      <c r="Q16" s="9">
        <f>1244.45</f>
        <v>1244.45</v>
      </c>
    </row>
    <row r="17" spans="1:17" ht="45" customHeight="1" x14ac:dyDescent="0.25">
      <c r="A17" s="4" t="s">
        <v>20</v>
      </c>
      <c r="B17" s="5" t="s">
        <v>69</v>
      </c>
      <c r="C17" s="4" t="s">
        <v>22</v>
      </c>
      <c r="D17" s="4" t="s">
        <v>70</v>
      </c>
      <c r="E17" s="4" t="s">
        <v>71</v>
      </c>
      <c r="F17" s="6">
        <f>29.36</f>
        <v>29.36</v>
      </c>
      <c r="G17" s="4" t="s">
        <v>47</v>
      </c>
      <c r="H17" s="7">
        <v>19.649999999999999</v>
      </c>
      <c r="I17" s="7">
        <v>19.649999999999999</v>
      </c>
      <c r="J17" s="8">
        <v>0.25</v>
      </c>
      <c r="K17" s="9">
        <f>24.56</f>
        <v>24.56</v>
      </c>
      <c r="L17" s="9">
        <f>721.08</f>
        <v>721.08</v>
      </c>
      <c r="M17" s="4"/>
      <c r="N17" s="10">
        <v>1</v>
      </c>
      <c r="O17" s="4" t="s">
        <v>26</v>
      </c>
      <c r="P17" s="11">
        <v>29.36</v>
      </c>
      <c r="Q17" s="9">
        <f>721.08</f>
        <v>721.08</v>
      </c>
    </row>
    <row r="18" spans="1:17" ht="45" customHeight="1" x14ac:dyDescent="0.25">
      <c r="A18" s="4" t="s">
        <v>20</v>
      </c>
      <c r="B18" s="5" t="s">
        <v>72</v>
      </c>
      <c r="C18" s="4" t="s">
        <v>22</v>
      </c>
      <c r="D18" s="4" t="s">
        <v>73</v>
      </c>
      <c r="E18" s="4" t="s">
        <v>74</v>
      </c>
      <c r="F18" s="6">
        <f>24.55</f>
        <v>24.55</v>
      </c>
      <c r="G18" s="4" t="s">
        <v>47</v>
      </c>
      <c r="H18" s="7">
        <v>16.27</v>
      </c>
      <c r="I18" s="7">
        <v>16.27</v>
      </c>
      <c r="J18" s="8">
        <v>0.25</v>
      </c>
      <c r="K18" s="9">
        <f>20.34</f>
        <v>20.34</v>
      </c>
      <c r="L18" s="9">
        <f>499.35</f>
        <v>499.35</v>
      </c>
      <c r="M18" s="4"/>
      <c r="N18" s="10">
        <v>1</v>
      </c>
      <c r="O18" s="4" t="s">
        <v>26</v>
      </c>
      <c r="P18" s="11">
        <v>24.55</v>
      </c>
      <c r="Q18" s="9">
        <f>499.35</f>
        <v>499.35</v>
      </c>
    </row>
    <row r="19" spans="1:17" ht="45" customHeight="1" x14ac:dyDescent="0.25">
      <c r="A19" s="4" t="s">
        <v>20</v>
      </c>
      <c r="B19" s="5" t="s">
        <v>75</v>
      </c>
      <c r="C19" s="4" t="s">
        <v>22</v>
      </c>
      <c r="D19" s="4" t="s">
        <v>76</v>
      </c>
      <c r="E19" s="4" t="s">
        <v>77</v>
      </c>
      <c r="F19" s="6">
        <f>1.51</f>
        <v>1.51</v>
      </c>
      <c r="G19" s="4" t="s">
        <v>59</v>
      </c>
      <c r="H19" s="7">
        <v>500.03</v>
      </c>
      <c r="I19" s="7">
        <v>500.03</v>
      </c>
      <c r="J19" s="8">
        <v>0.25</v>
      </c>
      <c r="K19" s="9">
        <f>625.04</f>
        <v>625.04</v>
      </c>
      <c r="L19" s="9">
        <f>943.81</f>
        <v>943.81</v>
      </c>
      <c r="M19" s="4"/>
      <c r="N19" s="10">
        <v>1</v>
      </c>
      <c r="O19" s="4" t="s">
        <v>26</v>
      </c>
      <c r="P19" s="11">
        <v>1.51</v>
      </c>
      <c r="Q19" s="9">
        <f>943.81</f>
        <v>943.81</v>
      </c>
    </row>
    <row r="20" spans="1:17" ht="45" customHeight="1" x14ac:dyDescent="0.25">
      <c r="A20" s="4" t="s">
        <v>20</v>
      </c>
      <c r="B20" s="5" t="s">
        <v>78</v>
      </c>
      <c r="C20" s="4" t="s">
        <v>22</v>
      </c>
      <c r="D20" s="4" t="s">
        <v>79</v>
      </c>
      <c r="E20" s="4" t="s">
        <v>80</v>
      </c>
      <c r="F20" s="6">
        <f>1.51</f>
        <v>1.51</v>
      </c>
      <c r="G20" s="4" t="s">
        <v>59</v>
      </c>
      <c r="H20" s="7">
        <v>280.85000000000002</v>
      </c>
      <c r="I20" s="7">
        <v>280.85000000000002</v>
      </c>
      <c r="J20" s="8">
        <v>0.25</v>
      </c>
      <c r="K20" s="9">
        <f>351.06</f>
        <v>351.06</v>
      </c>
      <c r="L20" s="9">
        <f>530.1</f>
        <v>530.1</v>
      </c>
      <c r="M20" s="4"/>
      <c r="N20" s="10">
        <v>1</v>
      </c>
      <c r="O20" s="4" t="s">
        <v>26</v>
      </c>
      <c r="P20" s="11">
        <v>1.51</v>
      </c>
      <c r="Q20" s="9">
        <f>530.1</f>
        <v>530.1</v>
      </c>
    </row>
    <row r="21" spans="1:17" ht="45" customHeight="1" x14ac:dyDescent="0.25">
      <c r="A21" s="4" t="s">
        <v>20</v>
      </c>
      <c r="B21" s="5" t="s">
        <v>81</v>
      </c>
      <c r="C21" s="4" t="s">
        <v>22</v>
      </c>
      <c r="D21" s="4" t="s">
        <v>82</v>
      </c>
      <c r="E21" s="4" t="s">
        <v>83</v>
      </c>
      <c r="F21" s="6">
        <f>10.91</f>
        <v>10.91</v>
      </c>
      <c r="G21" s="4" t="s">
        <v>25</v>
      </c>
      <c r="H21" s="7">
        <v>39.72</v>
      </c>
      <c r="I21" s="7">
        <v>39.72</v>
      </c>
      <c r="J21" s="8">
        <v>0.25</v>
      </c>
      <c r="K21" s="9">
        <f>49.65</f>
        <v>49.65</v>
      </c>
      <c r="L21" s="9">
        <f>541.68</f>
        <v>541.67999999999995</v>
      </c>
      <c r="M21" s="4"/>
      <c r="N21" s="10">
        <v>1</v>
      </c>
      <c r="O21" s="4" t="s">
        <v>26</v>
      </c>
      <c r="P21" s="11">
        <v>10.91</v>
      </c>
      <c r="Q21" s="9">
        <f>541.68</f>
        <v>541.67999999999995</v>
      </c>
    </row>
    <row r="22" spans="1:17" ht="45" customHeight="1" x14ac:dyDescent="0.25">
      <c r="A22" s="4" t="s">
        <v>20</v>
      </c>
      <c r="B22" s="5" t="s">
        <v>84</v>
      </c>
      <c r="C22" s="4" t="s">
        <v>22</v>
      </c>
      <c r="D22" s="4" t="s">
        <v>85</v>
      </c>
      <c r="E22" s="4" t="s">
        <v>86</v>
      </c>
      <c r="F22" s="6">
        <f>0.15</f>
        <v>0.15</v>
      </c>
      <c r="G22" s="4" t="s">
        <v>59</v>
      </c>
      <c r="H22" s="7">
        <v>25.38</v>
      </c>
      <c r="I22" s="7">
        <v>25.38</v>
      </c>
      <c r="J22" s="8">
        <v>0.25</v>
      </c>
      <c r="K22" s="9">
        <f>31.73</f>
        <v>31.73</v>
      </c>
      <c r="L22" s="9">
        <f>4.76</f>
        <v>4.76</v>
      </c>
      <c r="M22" s="4"/>
      <c r="N22" s="10">
        <v>1</v>
      </c>
      <c r="O22" s="4" t="s">
        <v>26</v>
      </c>
      <c r="P22" s="11">
        <v>0.15</v>
      </c>
      <c r="Q22" s="9">
        <f>4.76</f>
        <v>4.76</v>
      </c>
    </row>
    <row r="23" spans="1:17" ht="45" customHeight="1" x14ac:dyDescent="0.25">
      <c r="A23" s="4" t="s">
        <v>17</v>
      </c>
      <c r="B23" s="5" t="s">
        <v>87</v>
      </c>
      <c r="C23" s="4"/>
      <c r="D23" s="4"/>
      <c r="E23" s="4" t="s">
        <v>88</v>
      </c>
      <c r="F23" s="6"/>
      <c r="G23" s="4"/>
      <c r="H23" s="7"/>
      <c r="I23" s="7"/>
      <c r="J23" s="8"/>
      <c r="K23" s="9"/>
      <c r="L23" s="9">
        <f>9806.39</f>
        <v>9806.39</v>
      </c>
      <c r="M23" s="4"/>
      <c r="N23" s="10"/>
      <c r="O23" s="4"/>
      <c r="P23" s="11"/>
      <c r="Q23" s="9"/>
    </row>
    <row r="24" spans="1:17" ht="45" customHeight="1" x14ac:dyDescent="0.25">
      <c r="A24" s="4" t="s">
        <v>20</v>
      </c>
      <c r="B24" s="5" t="s">
        <v>89</v>
      </c>
      <c r="C24" s="4" t="s">
        <v>22</v>
      </c>
      <c r="D24" s="4" t="s">
        <v>90</v>
      </c>
      <c r="E24" s="4" t="s">
        <v>91</v>
      </c>
      <c r="F24" s="6">
        <f>25.2</f>
        <v>25.2</v>
      </c>
      <c r="G24" s="4" t="s">
        <v>25</v>
      </c>
      <c r="H24" s="7">
        <v>154.05000000000001</v>
      </c>
      <c r="I24" s="7">
        <v>154.05000000000001</v>
      </c>
      <c r="J24" s="8">
        <v>0.25</v>
      </c>
      <c r="K24" s="9">
        <f>192.56</f>
        <v>192.56</v>
      </c>
      <c r="L24" s="9">
        <f>4852.51</f>
        <v>4852.51</v>
      </c>
      <c r="M24" s="4"/>
      <c r="N24" s="10">
        <v>1</v>
      </c>
      <c r="O24" s="4" t="s">
        <v>26</v>
      </c>
      <c r="P24" s="11">
        <v>25.2</v>
      </c>
      <c r="Q24" s="9">
        <f>4852.51</f>
        <v>4852.51</v>
      </c>
    </row>
    <row r="25" spans="1:17" ht="45" customHeight="1" x14ac:dyDescent="0.25">
      <c r="A25" s="4" t="s">
        <v>20</v>
      </c>
      <c r="B25" s="5" t="s">
        <v>92</v>
      </c>
      <c r="C25" s="4" t="s">
        <v>22</v>
      </c>
      <c r="D25" s="4" t="s">
        <v>93</v>
      </c>
      <c r="E25" s="4" t="s">
        <v>94</v>
      </c>
      <c r="F25" s="6">
        <f>31.82</f>
        <v>31.82</v>
      </c>
      <c r="G25" s="4" t="s">
        <v>47</v>
      </c>
      <c r="H25" s="7">
        <v>14.26</v>
      </c>
      <c r="I25" s="7">
        <v>14.26</v>
      </c>
      <c r="J25" s="8">
        <v>0.25</v>
      </c>
      <c r="K25" s="9">
        <f>17.83</f>
        <v>17.829999999999998</v>
      </c>
      <c r="L25" s="9">
        <f>567.35</f>
        <v>567.35</v>
      </c>
      <c r="M25" s="4"/>
      <c r="N25" s="10">
        <v>1</v>
      </c>
      <c r="O25" s="4" t="s">
        <v>26</v>
      </c>
      <c r="P25" s="11">
        <v>31.82</v>
      </c>
      <c r="Q25" s="9">
        <f>567.35</f>
        <v>567.35</v>
      </c>
    </row>
    <row r="26" spans="1:17" ht="45" customHeight="1" x14ac:dyDescent="0.25">
      <c r="A26" s="4" t="s">
        <v>20</v>
      </c>
      <c r="B26" s="5" t="s">
        <v>95</v>
      </c>
      <c r="C26" s="4" t="s">
        <v>22</v>
      </c>
      <c r="D26" s="4" t="s">
        <v>96</v>
      </c>
      <c r="E26" s="4" t="s">
        <v>97</v>
      </c>
      <c r="F26" s="6">
        <f>0.55</f>
        <v>0.55000000000000004</v>
      </c>
      <c r="G26" s="4" t="s">
        <v>47</v>
      </c>
      <c r="H26" s="7">
        <v>13.6</v>
      </c>
      <c r="I26" s="7">
        <v>13.6</v>
      </c>
      <c r="J26" s="8">
        <v>0.25</v>
      </c>
      <c r="K26" s="9">
        <f>17</f>
        <v>17</v>
      </c>
      <c r="L26" s="9">
        <f>9.35</f>
        <v>9.35</v>
      </c>
      <c r="M26" s="4"/>
      <c r="N26" s="10">
        <v>1</v>
      </c>
      <c r="O26" s="4" t="s">
        <v>26</v>
      </c>
      <c r="P26" s="11">
        <v>0.55000000000000004</v>
      </c>
      <c r="Q26" s="9">
        <f>9.35</f>
        <v>9.35</v>
      </c>
    </row>
    <row r="27" spans="1:17" ht="45" customHeight="1" x14ac:dyDescent="0.25">
      <c r="A27" s="4" t="s">
        <v>20</v>
      </c>
      <c r="B27" s="5" t="s">
        <v>98</v>
      </c>
      <c r="C27" s="4" t="s">
        <v>22</v>
      </c>
      <c r="D27" s="4" t="s">
        <v>99</v>
      </c>
      <c r="E27" s="4" t="s">
        <v>100</v>
      </c>
      <c r="F27" s="6">
        <f>23.09</f>
        <v>23.09</v>
      </c>
      <c r="G27" s="4" t="s">
        <v>47</v>
      </c>
      <c r="H27" s="7">
        <v>12.88</v>
      </c>
      <c r="I27" s="7">
        <v>12.88</v>
      </c>
      <c r="J27" s="8">
        <v>0.25</v>
      </c>
      <c r="K27" s="9">
        <f>16.1</f>
        <v>16.100000000000001</v>
      </c>
      <c r="L27" s="9">
        <f>371.75</f>
        <v>371.75</v>
      </c>
      <c r="M27" s="4"/>
      <c r="N27" s="10">
        <v>1</v>
      </c>
      <c r="O27" s="4" t="s">
        <v>26</v>
      </c>
      <c r="P27" s="11">
        <v>23.09</v>
      </c>
      <c r="Q27" s="9">
        <f>371.75</f>
        <v>371.75</v>
      </c>
    </row>
    <row r="28" spans="1:17" ht="45" customHeight="1" x14ac:dyDescent="0.25">
      <c r="A28" s="4" t="s">
        <v>20</v>
      </c>
      <c r="B28" s="5" t="s">
        <v>101</v>
      </c>
      <c r="C28" s="4" t="s">
        <v>22</v>
      </c>
      <c r="D28" s="4" t="s">
        <v>102</v>
      </c>
      <c r="E28" s="4" t="s">
        <v>103</v>
      </c>
      <c r="F28" s="6">
        <f>60.45</f>
        <v>60.45</v>
      </c>
      <c r="G28" s="4" t="s">
        <v>47</v>
      </c>
      <c r="H28" s="7">
        <v>11.53</v>
      </c>
      <c r="I28" s="7">
        <v>11.53</v>
      </c>
      <c r="J28" s="8">
        <v>0.25</v>
      </c>
      <c r="K28" s="9">
        <f>14.41</f>
        <v>14.41</v>
      </c>
      <c r="L28" s="9">
        <f>871.08</f>
        <v>871.08</v>
      </c>
      <c r="M28" s="4"/>
      <c r="N28" s="10">
        <v>1</v>
      </c>
      <c r="O28" s="4" t="s">
        <v>26</v>
      </c>
      <c r="P28" s="11">
        <v>60.45</v>
      </c>
      <c r="Q28" s="9">
        <f>871.08</f>
        <v>871.08</v>
      </c>
    </row>
    <row r="29" spans="1:17" ht="45" customHeight="1" x14ac:dyDescent="0.25">
      <c r="A29" s="4" t="s">
        <v>20</v>
      </c>
      <c r="B29" s="5" t="s">
        <v>104</v>
      </c>
      <c r="C29" s="4" t="s">
        <v>22</v>
      </c>
      <c r="D29" s="4" t="s">
        <v>76</v>
      </c>
      <c r="E29" s="4" t="s">
        <v>77</v>
      </c>
      <c r="F29" s="6">
        <f>1.78</f>
        <v>1.78</v>
      </c>
      <c r="G29" s="4" t="s">
        <v>59</v>
      </c>
      <c r="H29" s="7">
        <v>500.03</v>
      </c>
      <c r="I29" s="7">
        <v>500.03</v>
      </c>
      <c r="J29" s="8">
        <v>0.25</v>
      </c>
      <c r="K29" s="9">
        <f>625.04</f>
        <v>625.04</v>
      </c>
      <c r="L29" s="9">
        <f>1112.57</f>
        <v>1112.57</v>
      </c>
      <c r="M29" s="4"/>
      <c r="N29" s="10">
        <v>1</v>
      </c>
      <c r="O29" s="4" t="s">
        <v>26</v>
      </c>
      <c r="P29" s="11">
        <v>1.78</v>
      </c>
      <c r="Q29" s="9">
        <f>1112.57</f>
        <v>1112.57</v>
      </c>
    </row>
    <row r="30" spans="1:17" ht="45" customHeight="1" x14ac:dyDescent="0.25">
      <c r="A30" s="4" t="s">
        <v>20</v>
      </c>
      <c r="B30" s="5" t="s">
        <v>105</v>
      </c>
      <c r="C30" s="4" t="s">
        <v>22</v>
      </c>
      <c r="D30" s="4" t="s">
        <v>79</v>
      </c>
      <c r="E30" s="4" t="s">
        <v>80</v>
      </c>
      <c r="F30" s="6">
        <f>1.78</f>
        <v>1.78</v>
      </c>
      <c r="G30" s="4" t="s">
        <v>59</v>
      </c>
      <c r="H30" s="7">
        <v>280.85000000000002</v>
      </c>
      <c r="I30" s="7">
        <v>280.85000000000002</v>
      </c>
      <c r="J30" s="8">
        <v>0.25</v>
      </c>
      <c r="K30" s="9">
        <f>351.06</f>
        <v>351.06</v>
      </c>
      <c r="L30" s="9">
        <f>624.89</f>
        <v>624.89</v>
      </c>
      <c r="M30" s="4"/>
      <c r="N30" s="10">
        <v>1</v>
      </c>
      <c r="O30" s="4" t="s">
        <v>26</v>
      </c>
      <c r="P30" s="11">
        <v>1.78</v>
      </c>
      <c r="Q30" s="9">
        <f>624.89</f>
        <v>624.89</v>
      </c>
    </row>
    <row r="31" spans="1:17" ht="45" customHeight="1" x14ac:dyDescent="0.25">
      <c r="A31" s="4" t="s">
        <v>20</v>
      </c>
      <c r="B31" s="5" t="s">
        <v>106</v>
      </c>
      <c r="C31" s="4" t="s">
        <v>37</v>
      </c>
      <c r="D31" s="4" t="s">
        <v>107</v>
      </c>
      <c r="E31" s="4" t="s">
        <v>108</v>
      </c>
      <c r="F31" s="6">
        <f>6.27</f>
        <v>6.27</v>
      </c>
      <c r="G31" s="4" t="s">
        <v>25</v>
      </c>
      <c r="H31" s="7">
        <v>178.23</v>
      </c>
      <c r="I31" s="7">
        <v>178.23</v>
      </c>
      <c r="J31" s="8">
        <v>0.25</v>
      </c>
      <c r="K31" s="9">
        <f>222.79</f>
        <v>222.79</v>
      </c>
      <c r="L31" s="9">
        <f>1396.89</f>
        <v>1396.89</v>
      </c>
      <c r="M31" s="4"/>
      <c r="N31" s="10">
        <v>1</v>
      </c>
      <c r="O31" s="4" t="s">
        <v>26</v>
      </c>
      <c r="P31" s="11">
        <v>6.27</v>
      </c>
      <c r="Q31" s="9">
        <f>1396.89</f>
        <v>1396.89</v>
      </c>
    </row>
    <row r="32" spans="1:17" ht="45" customHeight="1" x14ac:dyDescent="0.25">
      <c r="A32" s="4" t="s">
        <v>17</v>
      </c>
      <c r="B32" s="5" t="s">
        <v>109</v>
      </c>
      <c r="C32" s="4"/>
      <c r="D32" s="4"/>
      <c r="E32" s="4" t="s">
        <v>110</v>
      </c>
      <c r="F32" s="6"/>
      <c r="G32" s="4"/>
      <c r="H32" s="7"/>
      <c r="I32" s="7"/>
      <c r="J32" s="8"/>
      <c r="K32" s="9"/>
      <c r="L32" s="9">
        <f>130750</f>
        <v>130750</v>
      </c>
      <c r="M32" s="4"/>
      <c r="N32" s="10"/>
      <c r="O32" s="4"/>
      <c r="P32" s="11"/>
      <c r="Q32" s="9"/>
    </row>
    <row r="33" spans="1:17" ht="45" customHeight="1" x14ac:dyDescent="0.25">
      <c r="A33" s="4" t="s">
        <v>20</v>
      </c>
      <c r="B33" s="5" t="s">
        <v>111</v>
      </c>
      <c r="C33" s="4" t="s">
        <v>112</v>
      </c>
      <c r="D33" s="4" t="s">
        <v>113</v>
      </c>
      <c r="E33" s="4" t="s">
        <v>114</v>
      </c>
      <c r="F33" s="6">
        <f>1</f>
        <v>1</v>
      </c>
      <c r="G33" s="4" t="s">
        <v>43</v>
      </c>
      <c r="H33" s="7">
        <v>104600</v>
      </c>
      <c r="I33" s="7">
        <v>104600</v>
      </c>
      <c r="J33" s="8">
        <v>0.25</v>
      </c>
      <c r="K33" s="9">
        <f>130750</f>
        <v>130750</v>
      </c>
      <c r="L33" s="9">
        <f>130750</f>
        <v>130750</v>
      </c>
      <c r="M33" s="4"/>
      <c r="N33" s="10">
        <v>1</v>
      </c>
      <c r="O33" s="4" t="s">
        <v>26</v>
      </c>
      <c r="P33" s="11">
        <v>1</v>
      </c>
      <c r="Q33" s="9">
        <f>130750</f>
        <v>130750</v>
      </c>
    </row>
    <row r="34" spans="1:17" ht="45" customHeight="1" x14ac:dyDescent="0.25">
      <c r="A34" s="4" t="s">
        <v>17</v>
      </c>
      <c r="B34" s="5" t="s">
        <v>115</v>
      </c>
      <c r="C34" s="4"/>
      <c r="D34" s="4"/>
      <c r="E34" s="4" t="s">
        <v>116</v>
      </c>
      <c r="F34" s="6"/>
      <c r="G34" s="4"/>
      <c r="H34" s="7"/>
      <c r="I34" s="7"/>
      <c r="J34" s="8"/>
      <c r="K34" s="9"/>
      <c r="L34" s="9">
        <f>6876.99</f>
        <v>6876.99</v>
      </c>
      <c r="M34" s="4"/>
      <c r="N34" s="10"/>
      <c r="O34" s="4"/>
      <c r="P34" s="11"/>
      <c r="Q34" s="9"/>
    </row>
    <row r="35" spans="1:17" ht="45" customHeight="1" x14ac:dyDescent="0.25">
      <c r="A35" s="4" t="s">
        <v>20</v>
      </c>
      <c r="B35" s="5" t="s">
        <v>117</v>
      </c>
      <c r="C35" s="4" t="s">
        <v>22</v>
      </c>
      <c r="D35" s="4" t="s">
        <v>118</v>
      </c>
      <c r="E35" s="4" t="s">
        <v>119</v>
      </c>
      <c r="F35" s="6">
        <f>41.93</f>
        <v>41.93</v>
      </c>
      <c r="G35" s="4" t="s">
        <v>25</v>
      </c>
      <c r="H35" s="7">
        <v>118.44</v>
      </c>
      <c r="I35" s="7">
        <v>118.44</v>
      </c>
      <c r="J35" s="8">
        <v>0.25</v>
      </c>
      <c r="K35" s="9">
        <f>148.05</f>
        <v>148.05000000000001</v>
      </c>
      <c r="L35" s="9">
        <f>6207.74</f>
        <v>6207.74</v>
      </c>
      <c r="M35" s="4"/>
      <c r="N35" s="10">
        <v>1</v>
      </c>
      <c r="O35" s="4" t="s">
        <v>26</v>
      </c>
      <c r="P35" s="11">
        <v>41.93</v>
      </c>
      <c r="Q35" s="9">
        <f>6207.74</f>
        <v>6207.74</v>
      </c>
    </row>
    <row r="36" spans="1:17" ht="45" customHeight="1" x14ac:dyDescent="0.25">
      <c r="A36" s="4" t="s">
        <v>20</v>
      </c>
      <c r="B36" s="5" t="s">
        <v>120</v>
      </c>
      <c r="C36" s="4" t="s">
        <v>22</v>
      </c>
      <c r="D36" s="4" t="s">
        <v>121</v>
      </c>
      <c r="E36" s="4" t="s">
        <v>122</v>
      </c>
      <c r="F36" s="6">
        <f>4.3</f>
        <v>4.3</v>
      </c>
      <c r="G36" s="4" t="s">
        <v>30</v>
      </c>
      <c r="H36" s="7">
        <v>62.34</v>
      </c>
      <c r="I36" s="7">
        <v>62.34</v>
      </c>
      <c r="J36" s="8">
        <v>0.25</v>
      </c>
      <c r="K36" s="9">
        <f>77.93</f>
        <v>77.930000000000007</v>
      </c>
      <c r="L36" s="9">
        <f>335.1</f>
        <v>335.1</v>
      </c>
      <c r="M36" s="4"/>
      <c r="N36" s="10">
        <v>1</v>
      </c>
      <c r="O36" s="4" t="s">
        <v>26</v>
      </c>
      <c r="P36" s="11">
        <v>4.3</v>
      </c>
      <c r="Q36" s="9">
        <f>335.1</f>
        <v>335.1</v>
      </c>
    </row>
    <row r="37" spans="1:17" ht="45" customHeight="1" x14ac:dyDescent="0.25">
      <c r="A37" s="4" t="s">
        <v>20</v>
      </c>
      <c r="B37" s="5" t="s">
        <v>123</v>
      </c>
      <c r="C37" s="4" t="s">
        <v>22</v>
      </c>
      <c r="D37" s="4" t="s">
        <v>124</v>
      </c>
      <c r="E37" s="4" t="s">
        <v>125</v>
      </c>
      <c r="F37" s="6">
        <f>1.8</f>
        <v>1.8</v>
      </c>
      <c r="G37" s="4" t="s">
        <v>30</v>
      </c>
      <c r="H37" s="7">
        <v>47.95</v>
      </c>
      <c r="I37" s="7">
        <v>47.95</v>
      </c>
      <c r="J37" s="8">
        <v>0.25</v>
      </c>
      <c r="K37" s="9">
        <f>59.94</f>
        <v>59.94</v>
      </c>
      <c r="L37" s="9">
        <f>107.89</f>
        <v>107.89</v>
      </c>
      <c r="M37" s="4"/>
      <c r="N37" s="10">
        <v>1</v>
      </c>
      <c r="O37" s="4" t="s">
        <v>26</v>
      </c>
      <c r="P37" s="11">
        <v>1.8</v>
      </c>
      <c r="Q37" s="9">
        <f>107.89</f>
        <v>107.89</v>
      </c>
    </row>
    <row r="38" spans="1:17" ht="45" customHeight="1" x14ac:dyDescent="0.25">
      <c r="A38" s="4" t="s">
        <v>20</v>
      </c>
      <c r="B38" s="5" t="s">
        <v>126</v>
      </c>
      <c r="C38" s="4" t="s">
        <v>22</v>
      </c>
      <c r="D38" s="4" t="s">
        <v>127</v>
      </c>
      <c r="E38" s="4" t="s">
        <v>128</v>
      </c>
      <c r="F38" s="6">
        <f>13.17</f>
        <v>13.17</v>
      </c>
      <c r="G38" s="4" t="s">
        <v>30</v>
      </c>
      <c r="H38" s="7">
        <v>13.74</v>
      </c>
      <c r="I38" s="7">
        <v>13.74</v>
      </c>
      <c r="J38" s="8">
        <v>0.25</v>
      </c>
      <c r="K38" s="9">
        <f>17.18</f>
        <v>17.18</v>
      </c>
      <c r="L38" s="9">
        <f>226.26</f>
        <v>226.26</v>
      </c>
      <c r="M38" s="4"/>
      <c r="N38" s="10">
        <v>1</v>
      </c>
      <c r="O38" s="4" t="s">
        <v>26</v>
      </c>
      <c r="P38" s="11">
        <v>13.17</v>
      </c>
      <c r="Q38" s="9">
        <f>226.26</f>
        <v>226.26</v>
      </c>
    </row>
    <row r="39" spans="1:17" ht="45" customHeight="1" x14ac:dyDescent="0.25">
      <c r="A39" s="4" t="s">
        <v>17</v>
      </c>
      <c r="B39" s="5" t="s">
        <v>129</v>
      </c>
      <c r="C39" s="4"/>
      <c r="D39" s="4"/>
      <c r="E39" s="4" t="s">
        <v>130</v>
      </c>
      <c r="F39" s="6"/>
      <c r="G39" s="4"/>
      <c r="H39" s="7"/>
      <c r="I39" s="7"/>
      <c r="J39" s="8"/>
      <c r="K39" s="9"/>
      <c r="L39" s="9">
        <f>3202.62</f>
        <v>3202.62</v>
      </c>
      <c r="M39" s="4"/>
      <c r="N39" s="10"/>
      <c r="O39" s="4"/>
      <c r="P39" s="11"/>
      <c r="Q39" s="9"/>
    </row>
    <row r="40" spans="1:17" ht="45" customHeight="1" x14ac:dyDescent="0.25">
      <c r="A40" s="4" t="s">
        <v>20</v>
      </c>
      <c r="B40" s="5" t="s">
        <v>131</v>
      </c>
      <c r="C40" s="4" t="s">
        <v>22</v>
      </c>
      <c r="D40" s="4" t="s">
        <v>132</v>
      </c>
      <c r="E40" s="4" t="s">
        <v>133</v>
      </c>
      <c r="F40" s="6">
        <f>0.6</f>
        <v>0.6</v>
      </c>
      <c r="G40" s="4" t="s">
        <v>25</v>
      </c>
      <c r="H40" s="7">
        <v>882.64</v>
      </c>
      <c r="I40" s="7">
        <v>882.64</v>
      </c>
      <c r="J40" s="8">
        <v>0.25</v>
      </c>
      <c r="K40" s="9">
        <f>1103.3</f>
        <v>1103.3</v>
      </c>
      <c r="L40" s="9">
        <f>661.98</f>
        <v>661.98</v>
      </c>
      <c r="M40" s="4"/>
      <c r="N40" s="10">
        <v>1</v>
      </c>
      <c r="O40" s="4" t="s">
        <v>26</v>
      </c>
      <c r="P40" s="11">
        <v>0.6</v>
      </c>
      <c r="Q40" s="9">
        <f>661.98</f>
        <v>661.98</v>
      </c>
    </row>
    <row r="41" spans="1:17" ht="45" customHeight="1" x14ac:dyDescent="0.25">
      <c r="A41" s="4" t="s">
        <v>20</v>
      </c>
      <c r="B41" s="5" t="s">
        <v>134</v>
      </c>
      <c r="C41" s="4" t="s">
        <v>37</v>
      </c>
      <c r="D41" s="4" t="s">
        <v>135</v>
      </c>
      <c r="E41" s="4" t="s">
        <v>136</v>
      </c>
      <c r="F41" s="6">
        <f>3.57</f>
        <v>3.57</v>
      </c>
      <c r="G41" s="4" t="s">
        <v>25</v>
      </c>
      <c r="H41" s="7">
        <v>468.75</v>
      </c>
      <c r="I41" s="7">
        <v>468.75</v>
      </c>
      <c r="J41" s="8">
        <v>0.25</v>
      </c>
      <c r="K41" s="9">
        <f>585.94</f>
        <v>585.94000000000005</v>
      </c>
      <c r="L41" s="9">
        <f>2091.81</f>
        <v>2091.81</v>
      </c>
      <c r="M41" s="4"/>
      <c r="N41" s="10">
        <v>1</v>
      </c>
      <c r="O41" s="4" t="s">
        <v>26</v>
      </c>
      <c r="P41" s="11">
        <v>3.57</v>
      </c>
      <c r="Q41" s="9">
        <f>2091.81</f>
        <v>2091.81</v>
      </c>
    </row>
    <row r="42" spans="1:17" ht="45" customHeight="1" x14ac:dyDescent="0.25">
      <c r="A42" s="4" t="s">
        <v>20</v>
      </c>
      <c r="B42" s="5" t="s">
        <v>137</v>
      </c>
      <c r="C42" s="4" t="s">
        <v>22</v>
      </c>
      <c r="D42" s="4" t="s">
        <v>138</v>
      </c>
      <c r="E42" s="4" t="s">
        <v>139</v>
      </c>
      <c r="F42" s="6">
        <f>1</f>
        <v>1</v>
      </c>
      <c r="G42" s="4" t="s">
        <v>43</v>
      </c>
      <c r="H42" s="7">
        <v>359.06</v>
      </c>
      <c r="I42" s="7">
        <v>359.06</v>
      </c>
      <c r="J42" s="8">
        <v>0.25</v>
      </c>
      <c r="K42" s="9">
        <f>448.83</f>
        <v>448.83</v>
      </c>
      <c r="L42" s="9">
        <f>448.83</f>
        <v>448.83</v>
      </c>
      <c r="M42" s="4"/>
      <c r="N42" s="10">
        <v>1</v>
      </c>
      <c r="O42" s="4" t="s">
        <v>26</v>
      </c>
      <c r="P42" s="11">
        <v>1</v>
      </c>
      <c r="Q42" s="9">
        <f>448.83</f>
        <v>448.83</v>
      </c>
    </row>
    <row r="43" spans="1:17" ht="45" customHeight="1" x14ac:dyDescent="0.25">
      <c r="A43" s="4" t="s">
        <v>17</v>
      </c>
      <c r="B43" s="5" t="s">
        <v>140</v>
      </c>
      <c r="C43" s="4"/>
      <c r="D43" s="4"/>
      <c r="E43" s="4" t="s">
        <v>141</v>
      </c>
      <c r="F43" s="6"/>
      <c r="G43" s="4"/>
      <c r="H43" s="7"/>
      <c r="I43" s="7"/>
      <c r="J43" s="8"/>
      <c r="K43" s="9"/>
      <c r="L43" s="9">
        <f>15543.95</f>
        <v>15543.95</v>
      </c>
      <c r="M43" s="4"/>
      <c r="N43" s="10"/>
      <c r="O43" s="4"/>
      <c r="P43" s="11"/>
      <c r="Q43" s="9"/>
    </row>
    <row r="44" spans="1:17" ht="45" customHeight="1" x14ac:dyDescent="0.25">
      <c r="A44" s="4" t="s">
        <v>20</v>
      </c>
      <c r="B44" s="5" t="s">
        <v>142</v>
      </c>
      <c r="C44" s="4" t="s">
        <v>22</v>
      </c>
      <c r="D44" s="4" t="s">
        <v>143</v>
      </c>
      <c r="E44" s="4" t="s">
        <v>144</v>
      </c>
      <c r="F44" s="6">
        <f>83.86</f>
        <v>83.86</v>
      </c>
      <c r="G44" s="4" t="s">
        <v>25</v>
      </c>
      <c r="H44" s="7">
        <v>43.24</v>
      </c>
      <c r="I44" s="7">
        <v>43.24</v>
      </c>
      <c r="J44" s="8">
        <v>0.25</v>
      </c>
      <c r="K44" s="9">
        <f>54.05</f>
        <v>54.05</v>
      </c>
      <c r="L44" s="9">
        <f>4532.63</f>
        <v>4532.63</v>
      </c>
      <c r="M44" s="4"/>
      <c r="N44" s="10">
        <v>1</v>
      </c>
      <c r="O44" s="4" t="s">
        <v>26</v>
      </c>
      <c r="P44" s="11">
        <v>83.86</v>
      </c>
      <c r="Q44" s="9">
        <f>4532.63</f>
        <v>4532.63</v>
      </c>
    </row>
    <row r="45" spans="1:17" ht="45" customHeight="1" x14ac:dyDescent="0.25">
      <c r="A45" s="4" t="s">
        <v>20</v>
      </c>
      <c r="B45" s="5" t="s">
        <v>145</v>
      </c>
      <c r="C45" s="4" t="s">
        <v>22</v>
      </c>
      <c r="D45" s="4" t="s">
        <v>146</v>
      </c>
      <c r="E45" s="4" t="s">
        <v>147</v>
      </c>
      <c r="F45" s="6">
        <f>83.86</f>
        <v>83.86</v>
      </c>
      <c r="G45" s="4" t="s">
        <v>25</v>
      </c>
      <c r="H45" s="7">
        <v>3.84</v>
      </c>
      <c r="I45" s="7">
        <v>3.84</v>
      </c>
      <c r="J45" s="8">
        <v>0.25</v>
      </c>
      <c r="K45" s="9">
        <f>4.8</f>
        <v>4.8</v>
      </c>
      <c r="L45" s="9">
        <f>402.53</f>
        <v>402.53</v>
      </c>
      <c r="M45" s="4"/>
      <c r="N45" s="10">
        <v>1</v>
      </c>
      <c r="O45" s="4" t="s">
        <v>26</v>
      </c>
      <c r="P45" s="11">
        <v>83.86</v>
      </c>
      <c r="Q45" s="9">
        <f>402.53</f>
        <v>402.53</v>
      </c>
    </row>
    <row r="46" spans="1:17" ht="45" customHeight="1" x14ac:dyDescent="0.25">
      <c r="A46" s="4" t="s">
        <v>20</v>
      </c>
      <c r="B46" s="5" t="s">
        <v>148</v>
      </c>
      <c r="C46" s="4" t="s">
        <v>37</v>
      </c>
      <c r="D46" s="4" t="s">
        <v>149</v>
      </c>
      <c r="E46" s="4" t="s">
        <v>150</v>
      </c>
      <c r="F46" s="6">
        <f>83.86</f>
        <v>83.86</v>
      </c>
      <c r="G46" s="4" t="s">
        <v>25</v>
      </c>
      <c r="H46" s="7">
        <v>26.02</v>
      </c>
      <c r="I46" s="7">
        <v>26.02</v>
      </c>
      <c r="J46" s="8">
        <v>0.25</v>
      </c>
      <c r="K46" s="9">
        <f>32.53</f>
        <v>32.53</v>
      </c>
      <c r="L46" s="9">
        <f>2727.97</f>
        <v>2727.97</v>
      </c>
      <c r="M46" s="4"/>
      <c r="N46" s="10">
        <v>1</v>
      </c>
      <c r="O46" s="4" t="s">
        <v>26</v>
      </c>
      <c r="P46" s="11">
        <v>83.86</v>
      </c>
      <c r="Q46" s="9">
        <f>2727.97</f>
        <v>2727.97</v>
      </c>
    </row>
    <row r="47" spans="1:17" ht="45" customHeight="1" x14ac:dyDescent="0.25">
      <c r="A47" s="4" t="s">
        <v>20</v>
      </c>
      <c r="B47" s="5" t="s">
        <v>151</v>
      </c>
      <c r="C47" s="4" t="s">
        <v>22</v>
      </c>
      <c r="D47" s="4" t="s">
        <v>152</v>
      </c>
      <c r="E47" s="4" t="s">
        <v>153</v>
      </c>
      <c r="F47" s="6">
        <f>6.27</f>
        <v>6.27</v>
      </c>
      <c r="G47" s="4" t="s">
        <v>25</v>
      </c>
      <c r="H47" s="7">
        <v>30.87</v>
      </c>
      <c r="I47" s="7">
        <v>30.87</v>
      </c>
      <c r="J47" s="8">
        <v>0.25</v>
      </c>
      <c r="K47" s="9">
        <f>38.59</f>
        <v>38.590000000000003</v>
      </c>
      <c r="L47" s="9">
        <f>241.96</f>
        <v>241.96</v>
      </c>
      <c r="M47" s="4"/>
      <c r="N47" s="10">
        <v>1</v>
      </c>
      <c r="O47" s="4" t="s">
        <v>26</v>
      </c>
      <c r="P47" s="11">
        <v>6.27</v>
      </c>
      <c r="Q47" s="9">
        <f>241.96</f>
        <v>241.96</v>
      </c>
    </row>
    <row r="48" spans="1:17" ht="45" customHeight="1" x14ac:dyDescent="0.25">
      <c r="A48" s="4" t="s">
        <v>20</v>
      </c>
      <c r="B48" s="5" t="s">
        <v>154</v>
      </c>
      <c r="C48" s="4" t="s">
        <v>22</v>
      </c>
      <c r="D48" s="4" t="s">
        <v>155</v>
      </c>
      <c r="E48" s="4" t="s">
        <v>156</v>
      </c>
      <c r="F48" s="6">
        <f>6.27</f>
        <v>6.27</v>
      </c>
      <c r="G48" s="4" t="s">
        <v>25</v>
      </c>
      <c r="H48" s="7">
        <v>4.74</v>
      </c>
      <c r="I48" s="7">
        <v>4.74</v>
      </c>
      <c r="J48" s="8">
        <v>0.25</v>
      </c>
      <c r="K48" s="9">
        <f>5.93</f>
        <v>5.93</v>
      </c>
      <c r="L48" s="9">
        <f>37.18</f>
        <v>37.18</v>
      </c>
      <c r="M48" s="4"/>
      <c r="N48" s="10">
        <v>1</v>
      </c>
      <c r="O48" s="4" t="s">
        <v>26</v>
      </c>
      <c r="P48" s="11">
        <v>6.27</v>
      </c>
      <c r="Q48" s="9">
        <f>37.18</f>
        <v>37.18</v>
      </c>
    </row>
    <row r="49" spans="1:17" ht="45" customHeight="1" x14ac:dyDescent="0.25">
      <c r="A49" s="4" t="s">
        <v>20</v>
      </c>
      <c r="B49" s="5" t="s">
        <v>157</v>
      </c>
      <c r="C49" s="4" t="s">
        <v>22</v>
      </c>
      <c r="D49" s="4" t="s">
        <v>158</v>
      </c>
      <c r="E49" s="4" t="s">
        <v>159</v>
      </c>
      <c r="F49" s="6">
        <f>6.27</f>
        <v>6.27</v>
      </c>
      <c r="G49" s="4" t="s">
        <v>25</v>
      </c>
      <c r="H49" s="7">
        <v>14.5</v>
      </c>
      <c r="I49" s="7">
        <v>14.5</v>
      </c>
      <c r="J49" s="8">
        <v>0.25</v>
      </c>
      <c r="K49" s="9">
        <f>18.13</f>
        <v>18.13</v>
      </c>
      <c r="L49" s="9">
        <f>113.68</f>
        <v>113.68</v>
      </c>
      <c r="M49" s="4"/>
      <c r="N49" s="10">
        <v>1</v>
      </c>
      <c r="O49" s="4" t="s">
        <v>26</v>
      </c>
      <c r="P49" s="11">
        <v>6.27</v>
      </c>
      <c r="Q49" s="9">
        <f>113.68</f>
        <v>113.68</v>
      </c>
    </row>
    <row r="50" spans="1:17" ht="45" customHeight="1" x14ac:dyDescent="0.25">
      <c r="A50" s="4" t="s">
        <v>20</v>
      </c>
      <c r="B50" s="5" t="s">
        <v>160</v>
      </c>
      <c r="C50" s="4" t="s">
        <v>22</v>
      </c>
      <c r="D50" s="4" t="s">
        <v>161</v>
      </c>
      <c r="E50" s="4" t="s">
        <v>162</v>
      </c>
      <c r="F50" s="6">
        <f>299.76</f>
        <v>299.76</v>
      </c>
      <c r="G50" s="4" t="s">
        <v>25</v>
      </c>
      <c r="H50" s="7">
        <v>19.98</v>
      </c>
      <c r="I50" s="7">
        <v>19.98</v>
      </c>
      <c r="J50" s="8">
        <v>0.25</v>
      </c>
      <c r="K50" s="9">
        <f>24.98</f>
        <v>24.98</v>
      </c>
      <c r="L50" s="9">
        <f>7488</f>
        <v>7488</v>
      </c>
      <c r="M50" s="4"/>
      <c r="N50" s="10">
        <v>1</v>
      </c>
      <c r="O50" s="4" t="s">
        <v>26</v>
      </c>
      <c r="P50" s="11">
        <v>299.76</v>
      </c>
      <c r="Q50" s="9">
        <f>7488</f>
        <v>7488</v>
      </c>
    </row>
    <row r="51" spans="1:17" ht="45" customHeight="1" x14ac:dyDescent="0.25">
      <c r="A51" s="4" t="s">
        <v>17</v>
      </c>
      <c r="B51" s="5" t="s">
        <v>163</v>
      </c>
      <c r="C51" s="4"/>
      <c r="D51" s="4"/>
      <c r="E51" s="4" t="s">
        <v>164</v>
      </c>
      <c r="F51" s="6"/>
      <c r="G51" s="4"/>
      <c r="H51" s="7"/>
      <c r="I51" s="7"/>
      <c r="J51" s="8"/>
      <c r="K51" s="9"/>
      <c r="L51" s="9">
        <f>3569.26</f>
        <v>3569.26</v>
      </c>
      <c r="M51" s="4"/>
      <c r="N51" s="10"/>
      <c r="O51" s="4"/>
      <c r="P51" s="11"/>
      <c r="Q51" s="9"/>
    </row>
    <row r="52" spans="1:17" ht="45" customHeight="1" x14ac:dyDescent="0.25">
      <c r="A52" s="4" t="s">
        <v>20</v>
      </c>
      <c r="B52" s="5" t="s">
        <v>165</v>
      </c>
      <c r="C52" s="4" t="s">
        <v>22</v>
      </c>
      <c r="D52" s="4" t="s">
        <v>166</v>
      </c>
      <c r="E52" s="4" t="s">
        <v>167</v>
      </c>
      <c r="F52" s="6">
        <f>83.86</f>
        <v>83.86</v>
      </c>
      <c r="G52" s="4" t="s">
        <v>25</v>
      </c>
      <c r="H52" s="7">
        <v>4.25</v>
      </c>
      <c r="I52" s="7">
        <v>4.25</v>
      </c>
      <c r="J52" s="8">
        <v>0.25</v>
      </c>
      <c r="K52" s="9">
        <f>5.31</f>
        <v>5.31</v>
      </c>
      <c r="L52" s="9">
        <f>445.3</f>
        <v>445.3</v>
      </c>
      <c r="M52" s="4"/>
      <c r="N52" s="10">
        <v>1</v>
      </c>
      <c r="O52" s="4" t="s">
        <v>26</v>
      </c>
      <c r="P52" s="11">
        <v>83.86</v>
      </c>
      <c r="Q52" s="9">
        <f>445.3</f>
        <v>445.3</v>
      </c>
    </row>
    <row r="53" spans="1:17" ht="45" customHeight="1" x14ac:dyDescent="0.25">
      <c r="A53" s="4" t="s">
        <v>20</v>
      </c>
      <c r="B53" s="5" t="s">
        <v>168</v>
      </c>
      <c r="C53" s="4" t="s">
        <v>22</v>
      </c>
      <c r="D53" s="4" t="s">
        <v>169</v>
      </c>
      <c r="E53" s="4" t="s">
        <v>170</v>
      </c>
      <c r="F53" s="6">
        <f>83.86</f>
        <v>83.86</v>
      </c>
      <c r="G53" s="4" t="s">
        <v>25</v>
      </c>
      <c r="H53" s="7">
        <v>27.06</v>
      </c>
      <c r="I53" s="7">
        <v>27.06</v>
      </c>
      <c r="J53" s="8">
        <v>0.25</v>
      </c>
      <c r="K53" s="9">
        <f>33.83</f>
        <v>33.83</v>
      </c>
      <c r="L53" s="9">
        <f>2836.98</f>
        <v>2836.98</v>
      </c>
      <c r="M53" s="4"/>
      <c r="N53" s="10">
        <v>1</v>
      </c>
      <c r="O53" s="4" t="s">
        <v>26</v>
      </c>
      <c r="P53" s="11">
        <v>83.86</v>
      </c>
      <c r="Q53" s="9">
        <f>2836.98</f>
        <v>2836.98</v>
      </c>
    </row>
    <row r="54" spans="1:17" ht="45" customHeight="1" x14ac:dyDescent="0.25">
      <c r="A54" s="4" t="s">
        <v>20</v>
      </c>
      <c r="B54" s="5" t="s">
        <v>171</v>
      </c>
      <c r="C54" s="4" t="s">
        <v>22</v>
      </c>
      <c r="D54" s="4" t="s">
        <v>172</v>
      </c>
      <c r="E54" s="4" t="s">
        <v>173</v>
      </c>
      <c r="F54" s="6">
        <f>6.27</f>
        <v>6.27</v>
      </c>
      <c r="G54" s="4" t="s">
        <v>25</v>
      </c>
      <c r="H54" s="7">
        <v>5.99</v>
      </c>
      <c r="I54" s="7">
        <v>5.99</v>
      </c>
      <c r="J54" s="8">
        <v>0.25</v>
      </c>
      <c r="K54" s="9">
        <f>7.49</f>
        <v>7.49</v>
      </c>
      <c r="L54" s="9">
        <f>46.96</f>
        <v>46.96</v>
      </c>
      <c r="M54" s="4"/>
      <c r="N54" s="10">
        <v>1</v>
      </c>
      <c r="O54" s="4" t="s">
        <v>26</v>
      </c>
      <c r="P54" s="11">
        <v>6.27</v>
      </c>
      <c r="Q54" s="9">
        <f>46.96</f>
        <v>46.96</v>
      </c>
    </row>
    <row r="55" spans="1:17" ht="45" customHeight="1" x14ac:dyDescent="0.25">
      <c r="A55" s="4" t="s">
        <v>20</v>
      </c>
      <c r="B55" s="5" t="s">
        <v>174</v>
      </c>
      <c r="C55" s="4" t="s">
        <v>22</v>
      </c>
      <c r="D55" s="4" t="s">
        <v>175</v>
      </c>
      <c r="E55" s="4" t="s">
        <v>176</v>
      </c>
      <c r="F55" s="6">
        <f>6.27</f>
        <v>6.27</v>
      </c>
      <c r="G55" s="4" t="s">
        <v>25</v>
      </c>
      <c r="H55" s="7">
        <v>30.62</v>
      </c>
      <c r="I55" s="7">
        <v>30.62</v>
      </c>
      <c r="J55" s="8">
        <v>0.25</v>
      </c>
      <c r="K55" s="9">
        <f>38.28</f>
        <v>38.28</v>
      </c>
      <c r="L55" s="9">
        <f>240.02</f>
        <v>240.02</v>
      </c>
      <c r="M55" s="4"/>
      <c r="N55" s="10">
        <v>1</v>
      </c>
      <c r="O55" s="4" t="s">
        <v>26</v>
      </c>
      <c r="P55" s="11">
        <v>6.27</v>
      </c>
      <c r="Q55" s="9">
        <f>240.02</f>
        <v>240.02</v>
      </c>
    </row>
    <row r="56" spans="1:17" ht="45" customHeight="1" x14ac:dyDescent="0.25">
      <c r="A56" s="4" t="s">
        <v>17</v>
      </c>
      <c r="B56" s="5" t="s">
        <v>135</v>
      </c>
      <c r="C56" s="4"/>
      <c r="D56" s="4"/>
      <c r="E56" s="4" t="s">
        <v>177</v>
      </c>
      <c r="F56" s="6"/>
      <c r="G56" s="4"/>
      <c r="H56" s="7"/>
      <c r="I56" s="7"/>
      <c r="J56" s="8"/>
      <c r="K56" s="9"/>
      <c r="L56" s="9">
        <f>64611.33</f>
        <v>64611.33</v>
      </c>
      <c r="M56" s="4"/>
      <c r="N56" s="10"/>
      <c r="O56" s="4"/>
      <c r="P56" s="11"/>
      <c r="Q56" s="9"/>
    </row>
    <row r="57" spans="1:17" ht="45" customHeight="1" x14ac:dyDescent="0.25">
      <c r="A57" s="4" t="s">
        <v>20</v>
      </c>
      <c r="B57" s="5" t="s">
        <v>178</v>
      </c>
      <c r="C57" s="4" t="s">
        <v>22</v>
      </c>
      <c r="D57" s="4" t="s">
        <v>179</v>
      </c>
      <c r="E57" s="4" t="s">
        <v>180</v>
      </c>
      <c r="F57" s="6">
        <f>308</f>
        <v>308</v>
      </c>
      <c r="G57" s="4" t="s">
        <v>25</v>
      </c>
      <c r="H57" s="7">
        <v>3.17</v>
      </c>
      <c r="I57" s="7">
        <v>3.17</v>
      </c>
      <c r="J57" s="8">
        <v>0.25</v>
      </c>
      <c r="K57" s="9">
        <f>3.96</f>
        <v>3.96</v>
      </c>
      <c r="L57" s="9">
        <f>1219.68</f>
        <v>1219.68</v>
      </c>
      <c r="M57" s="4"/>
      <c r="N57" s="10">
        <v>1</v>
      </c>
      <c r="O57" s="4" t="s">
        <v>26</v>
      </c>
      <c r="P57" s="11">
        <v>308</v>
      </c>
      <c r="Q57" s="9">
        <f>1219.68</f>
        <v>1219.68</v>
      </c>
    </row>
    <row r="58" spans="1:17" ht="45" customHeight="1" x14ac:dyDescent="0.25">
      <c r="A58" s="4" t="s">
        <v>20</v>
      </c>
      <c r="B58" s="5" t="s">
        <v>181</v>
      </c>
      <c r="C58" s="4" t="s">
        <v>22</v>
      </c>
      <c r="D58" s="4" t="s">
        <v>182</v>
      </c>
      <c r="E58" s="4" t="s">
        <v>183</v>
      </c>
      <c r="F58" s="6">
        <f>308</f>
        <v>308</v>
      </c>
      <c r="G58" s="4" t="s">
        <v>25</v>
      </c>
      <c r="H58" s="7">
        <v>34.93</v>
      </c>
      <c r="I58" s="7">
        <v>34.93</v>
      </c>
      <c r="J58" s="8">
        <v>0.25</v>
      </c>
      <c r="K58" s="9">
        <f>43.66</f>
        <v>43.66</v>
      </c>
      <c r="L58" s="9">
        <f>13447.28</f>
        <v>13447.28</v>
      </c>
      <c r="M58" s="4"/>
      <c r="N58" s="10">
        <v>1</v>
      </c>
      <c r="O58" s="4" t="s">
        <v>26</v>
      </c>
      <c r="P58" s="11">
        <v>308</v>
      </c>
      <c r="Q58" s="9">
        <f>13447.28</f>
        <v>13447.28</v>
      </c>
    </row>
    <row r="59" spans="1:17" ht="45" customHeight="1" x14ac:dyDescent="0.25">
      <c r="A59" s="4" t="s">
        <v>20</v>
      </c>
      <c r="B59" s="5" t="s">
        <v>184</v>
      </c>
      <c r="C59" s="4" t="s">
        <v>22</v>
      </c>
      <c r="D59" s="4" t="s">
        <v>185</v>
      </c>
      <c r="E59" s="4" t="s">
        <v>186</v>
      </c>
      <c r="F59" s="6">
        <f>308</f>
        <v>308</v>
      </c>
      <c r="G59" s="4" t="s">
        <v>25</v>
      </c>
      <c r="H59" s="7">
        <v>128.28</v>
      </c>
      <c r="I59" s="7">
        <v>128.28</v>
      </c>
      <c r="J59" s="8">
        <v>0.25</v>
      </c>
      <c r="K59" s="9">
        <f>160.35</f>
        <v>160.35</v>
      </c>
      <c r="L59" s="9">
        <f>49387.8</f>
        <v>49387.8</v>
      </c>
      <c r="M59" s="4"/>
      <c r="N59" s="10">
        <v>1</v>
      </c>
      <c r="O59" s="4" t="s">
        <v>26</v>
      </c>
      <c r="P59" s="11">
        <v>308</v>
      </c>
      <c r="Q59" s="9">
        <f>49387.8</f>
        <v>49387.8</v>
      </c>
    </row>
    <row r="60" spans="1:17" ht="45" customHeight="1" x14ac:dyDescent="0.25">
      <c r="A60" s="4" t="s">
        <v>20</v>
      </c>
      <c r="B60" s="5" t="s">
        <v>187</v>
      </c>
      <c r="C60" s="4" t="s">
        <v>22</v>
      </c>
      <c r="D60" s="4" t="s">
        <v>188</v>
      </c>
      <c r="E60" s="4" t="s">
        <v>189</v>
      </c>
      <c r="F60" s="6">
        <f>6.27</f>
        <v>6.27</v>
      </c>
      <c r="G60" s="4" t="s">
        <v>25</v>
      </c>
      <c r="H60" s="7">
        <v>57.83</v>
      </c>
      <c r="I60" s="7">
        <v>57.83</v>
      </c>
      <c r="J60" s="8">
        <v>0.25</v>
      </c>
      <c r="K60" s="9">
        <f>72.29</f>
        <v>72.290000000000006</v>
      </c>
      <c r="L60" s="9">
        <f>453.26</f>
        <v>453.26</v>
      </c>
      <c r="M60" s="4"/>
      <c r="N60" s="10">
        <v>1</v>
      </c>
      <c r="O60" s="4" t="s">
        <v>26</v>
      </c>
      <c r="P60" s="11">
        <v>6.27</v>
      </c>
      <c r="Q60" s="9">
        <f>453.26</f>
        <v>453.26</v>
      </c>
    </row>
    <row r="61" spans="1:17" ht="45" customHeight="1" x14ac:dyDescent="0.25">
      <c r="A61" s="4" t="s">
        <v>20</v>
      </c>
      <c r="B61" s="5" t="s">
        <v>190</v>
      </c>
      <c r="C61" s="4" t="s">
        <v>22</v>
      </c>
      <c r="D61" s="4" t="s">
        <v>191</v>
      </c>
      <c r="E61" s="4" t="s">
        <v>192</v>
      </c>
      <c r="F61" s="6">
        <f>11.34</f>
        <v>11.34</v>
      </c>
      <c r="G61" s="4" t="s">
        <v>30</v>
      </c>
      <c r="H61" s="7">
        <v>7.29</v>
      </c>
      <c r="I61" s="7">
        <v>7.29</v>
      </c>
      <c r="J61" s="8">
        <v>0.25</v>
      </c>
      <c r="K61" s="9">
        <f>9.11</f>
        <v>9.11</v>
      </c>
      <c r="L61" s="9">
        <f>103.31</f>
        <v>103.31</v>
      </c>
      <c r="M61" s="4"/>
      <c r="N61" s="10">
        <v>1</v>
      </c>
      <c r="O61" s="4" t="s">
        <v>26</v>
      </c>
      <c r="P61" s="11">
        <v>11.34</v>
      </c>
      <c r="Q61" s="9">
        <f>103.31</f>
        <v>103.31</v>
      </c>
    </row>
    <row r="62" spans="1:17" ht="45" customHeight="1" x14ac:dyDescent="0.25">
      <c r="A62" s="4" t="s">
        <v>17</v>
      </c>
      <c r="B62" s="5" t="s">
        <v>149</v>
      </c>
      <c r="C62" s="4"/>
      <c r="D62" s="4"/>
      <c r="E62" s="4" t="s">
        <v>193</v>
      </c>
      <c r="F62" s="6"/>
      <c r="G62" s="4"/>
      <c r="H62" s="7"/>
      <c r="I62" s="7"/>
      <c r="J62" s="8"/>
      <c r="K62" s="9"/>
      <c r="L62" s="9">
        <f>6182.78</f>
        <v>6182.78</v>
      </c>
      <c r="M62" s="4"/>
      <c r="N62" s="10"/>
      <c r="O62" s="4"/>
      <c r="P62" s="11"/>
      <c r="Q62" s="9"/>
    </row>
    <row r="63" spans="1:17" ht="45" customHeight="1" x14ac:dyDescent="0.25">
      <c r="A63" s="4" t="s">
        <v>20</v>
      </c>
      <c r="B63" s="5" t="s">
        <v>194</v>
      </c>
      <c r="C63" s="4" t="s">
        <v>22</v>
      </c>
      <c r="D63" s="4" t="s">
        <v>195</v>
      </c>
      <c r="E63" s="4" t="s">
        <v>196</v>
      </c>
      <c r="F63" s="6">
        <f>1</f>
        <v>1</v>
      </c>
      <c r="G63" s="4" t="s">
        <v>43</v>
      </c>
      <c r="H63" s="7">
        <v>820.42</v>
      </c>
      <c r="I63" s="7">
        <v>820.42</v>
      </c>
      <c r="J63" s="8">
        <v>0.25</v>
      </c>
      <c r="K63" s="9">
        <f>1025.53</f>
        <v>1025.53</v>
      </c>
      <c r="L63" s="9">
        <f>1025.53</f>
        <v>1025.53</v>
      </c>
      <c r="M63" s="4"/>
      <c r="N63" s="10">
        <v>1</v>
      </c>
      <c r="O63" s="4" t="s">
        <v>26</v>
      </c>
      <c r="P63" s="11">
        <v>1</v>
      </c>
      <c r="Q63" s="9">
        <f>1025.53</f>
        <v>1025.53</v>
      </c>
    </row>
    <row r="64" spans="1:17" ht="45" customHeight="1" x14ac:dyDescent="0.25">
      <c r="A64" s="4" t="s">
        <v>20</v>
      </c>
      <c r="B64" s="5" t="s">
        <v>197</v>
      </c>
      <c r="C64" s="4" t="s">
        <v>22</v>
      </c>
      <c r="D64" s="4" t="s">
        <v>198</v>
      </c>
      <c r="E64" s="4" t="s">
        <v>199</v>
      </c>
      <c r="F64" s="6">
        <f>1</f>
        <v>1</v>
      </c>
      <c r="G64" s="4" t="s">
        <v>43</v>
      </c>
      <c r="H64" s="7">
        <v>330.78</v>
      </c>
      <c r="I64" s="7">
        <v>330.78</v>
      </c>
      <c r="J64" s="8">
        <v>0.25</v>
      </c>
      <c r="K64" s="9">
        <f>413.48</f>
        <v>413.48</v>
      </c>
      <c r="L64" s="9">
        <f>413.48</f>
        <v>413.48</v>
      </c>
      <c r="M64" s="4"/>
      <c r="N64" s="10">
        <v>1</v>
      </c>
      <c r="O64" s="4" t="s">
        <v>26</v>
      </c>
      <c r="P64" s="11">
        <v>1</v>
      </c>
      <c r="Q64" s="9">
        <f>413.48</f>
        <v>413.48</v>
      </c>
    </row>
    <row r="65" spans="1:17" ht="45" customHeight="1" x14ac:dyDescent="0.25">
      <c r="A65" s="4" t="s">
        <v>20</v>
      </c>
      <c r="B65" s="5" t="s">
        <v>200</v>
      </c>
      <c r="C65" s="4" t="s">
        <v>22</v>
      </c>
      <c r="D65" s="4" t="s">
        <v>201</v>
      </c>
      <c r="E65" s="4" t="s">
        <v>202</v>
      </c>
      <c r="F65" s="6">
        <f>2</f>
        <v>2</v>
      </c>
      <c r="G65" s="4" t="s">
        <v>43</v>
      </c>
      <c r="H65" s="7">
        <v>46.74</v>
      </c>
      <c r="I65" s="7">
        <v>46.74</v>
      </c>
      <c r="J65" s="8">
        <v>0.25</v>
      </c>
      <c r="K65" s="9">
        <f>58.43</f>
        <v>58.43</v>
      </c>
      <c r="L65" s="9">
        <f>116.86</f>
        <v>116.86</v>
      </c>
      <c r="M65" s="4"/>
      <c r="N65" s="10">
        <v>1</v>
      </c>
      <c r="O65" s="4" t="s">
        <v>26</v>
      </c>
      <c r="P65" s="11">
        <v>2</v>
      </c>
      <c r="Q65" s="9">
        <f>116.86</f>
        <v>116.86</v>
      </c>
    </row>
    <row r="66" spans="1:17" ht="45" customHeight="1" x14ac:dyDescent="0.25">
      <c r="A66" s="4" t="s">
        <v>20</v>
      </c>
      <c r="B66" s="5" t="s">
        <v>203</v>
      </c>
      <c r="C66" s="4" t="s">
        <v>37</v>
      </c>
      <c r="D66" s="4" t="s">
        <v>204</v>
      </c>
      <c r="E66" s="4" t="s">
        <v>205</v>
      </c>
      <c r="F66" s="6">
        <f>2</f>
        <v>2</v>
      </c>
      <c r="G66" s="4" t="s">
        <v>43</v>
      </c>
      <c r="H66" s="7">
        <v>194.35</v>
      </c>
      <c r="I66" s="7">
        <v>194.35</v>
      </c>
      <c r="J66" s="8">
        <v>0.25</v>
      </c>
      <c r="K66" s="9">
        <f>242.94</f>
        <v>242.94</v>
      </c>
      <c r="L66" s="9">
        <f>485.88</f>
        <v>485.88</v>
      </c>
      <c r="M66" s="4"/>
      <c r="N66" s="10">
        <v>1</v>
      </c>
      <c r="O66" s="4" t="s">
        <v>26</v>
      </c>
      <c r="P66" s="11">
        <v>2</v>
      </c>
      <c r="Q66" s="9">
        <f>485.88</f>
        <v>485.88</v>
      </c>
    </row>
    <row r="67" spans="1:17" ht="45" customHeight="1" x14ac:dyDescent="0.25">
      <c r="A67" s="4" t="s">
        <v>20</v>
      </c>
      <c r="B67" s="5" t="s">
        <v>206</v>
      </c>
      <c r="C67" s="4" t="s">
        <v>22</v>
      </c>
      <c r="D67" s="4" t="s">
        <v>207</v>
      </c>
      <c r="E67" s="4" t="s">
        <v>208</v>
      </c>
      <c r="F67" s="6">
        <f>2</f>
        <v>2</v>
      </c>
      <c r="G67" s="4" t="s">
        <v>43</v>
      </c>
      <c r="H67" s="7">
        <v>405.1</v>
      </c>
      <c r="I67" s="7">
        <v>405.1</v>
      </c>
      <c r="J67" s="8">
        <v>0.25</v>
      </c>
      <c r="K67" s="9">
        <f>506.38</f>
        <v>506.38</v>
      </c>
      <c r="L67" s="9">
        <f>1012.76</f>
        <v>1012.76</v>
      </c>
      <c r="M67" s="4"/>
      <c r="N67" s="10">
        <v>1</v>
      </c>
      <c r="O67" s="4" t="s">
        <v>26</v>
      </c>
      <c r="P67" s="11">
        <v>2</v>
      </c>
      <c r="Q67" s="9">
        <f>1012.76</f>
        <v>1012.76</v>
      </c>
    </row>
    <row r="68" spans="1:17" ht="45" customHeight="1" x14ac:dyDescent="0.25">
      <c r="A68" s="4" t="s">
        <v>20</v>
      </c>
      <c r="B68" s="5" t="s">
        <v>209</v>
      </c>
      <c r="C68" s="4" t="s">
        <v>22</v>
      </c>
      <c r="D68" s="4" t="s">
        <v>210</v>
      </c>
      <c r="E68" s="4" t="s">
        <v>211</v>
      </c>
      <c r="F68" s="6">
        <f>2</f>
        <v>2</v>
      </c>
      <c r="G68" s="4" t="s">
        <v>43</v>
      </c>
      <c r="H68" s="7">
        <v>394.14</v>
      </c>
      <c r="I68" s="7">
        <v>394.14</v>
      </c>
      <c r="J68" s="8">
        <v>0.25</v>
      </c>
      <c r="K68" s="9">
        <f>492.68</f>
        <v>492.68</v>
      </c>
      <c r="L68" s="9">
        <f>985.36</f>
        <v>985.36</v>
      </c>
      <c r="M68" s="4"/>
      <c r="N68" s="10">
        <v>1</v>
      </c>
      <c r="O68" s="4" t="s">
        <v>26</v>
      </c>
      <c r="P68" s="11">
        <v>2</v>
      </c>
      <c r="Q68" s="9">
        <f>985.36</f>
        <v>985.36</v>
      </c>
    </row>
    <row r="69" spans="1:17" ht="45" customHeight="1" x14ac:dyDescent="0.25">
      <c r="A69" s="4" t="s">
        <v>20</v>
      </c>
      <c r="B69" s="5" t="s">
        <v>212</v>
      </c>
      <c r="C69" s="4" t="s">
        <v>22</v>
      </c>
      <c r="D69" s="4" t="s">
        <v>213</v>
      </c>
      <c r="E69" s="4" t="s">
        <v>214</v>
      </c>
      <c r="F69" s="6">
        <f>1</f>
        <v>1</v>
      </c>
      <c r="G69" s="4" t="s">
        <v>43</v>
      </c>
      <c r="H69" s="7">
        <v>380.12</v>
      </c>
      <c r="I69" s="7">
        <v>380.12</v>
      </c>
      <c r="J69" s="8">
        <v>0.25</v>
      </c>
      <c r="K69" s="9">
        <f>475.15</f>
        <v>475.15</v>
      </c>
      <c r="L69" s="9">
        <f>475.15</f>
        <v>475.15</v>
      </c>
      <c r="M69" s="4"/>
      <c r="N69" s="10">
        <v>1</v>
      </c>
      <c r="O69" s="4" t="s">
        <v>26</v>
      </c>
      <c r="P69" s="11">
        <v>1</v>
      </c>
      <c r="Q69" s="9">
        <f>475.15</f>
        <v>475.15</v>
      </c>
    </row>
    <row r="70" spans="1:17" ht="45" customHeight="1" x14ac:dyDescent="0.25">
      <c r="A70" s="4" t="s">
        <v>20</v>
      </c>
      <c r="B70" s="5" t="s">
        <v>215</v>
      </c>
      <c r="C70" s="4" t="s">
        <v>37</v>
      </c>
      <c r="D70" s="4" t="s">
        <v>216</v>
      </c>
      <c r="E70" s="4" t="s">
        <v>217</v>
      </c>
      <c r="F70" s="6">
        <f>2</f>
        <v>2</v>
      </c>
      <c r="G70" s="4" t="s">
        <v>43</v>
      </c>
      <c r="H70" s="7">
        <v>304.19</v>
      </c>
      <c r="I70" s="7">
        <v>304.19</v>
      </c>
      <c r="J70" s="8">
        <v>0.25</v>
      </c>
      <c r="K70" s="9">
        <f>380.24</f>
        <v>380.24</v>
      </c>
      <c r="L70" s="9">
        <f>760.48</f>
        <v>760.48</v>
      </c>
      <c r="M70" s="4"/>
      <c r="N70" s="10">
        <v>1</v>
      </c>
      <c r="O70" s="4" t="s">
        <v>26</v>
      </c>
      <c r="P70" s="11">
        <v>2</v>
      </c>
      <c r="Q70" s="9">
        <f>760.48</f>
        <v>760.48</v>
      </c>
    </row>
    <row r="71" spans="1:17" ht="45" customHeight="1" x14ac:dyDescent="0.25">
      <c r="A71" s="4" t="s">
        <v>20</v>
      </c>
      <c r="B71" s="5" t="s">
        <v>218</v>
      </c>
      <c r="C71" s="4" t="s">
        <v>22</v>
      </c>
      <c r="D71" s="4" t="s">
        <v>219</v>
      </c>
      <c r="E71" s="4" t="s">
        <v>220</v>
      </c>
      <c r="F71" s="6">
        <f>1</f>
        <v>1</v>
      </c>
      <c r="G71" s="4" t="s">
        <v>43</v>
      </c>
      <c r="H71" s="7">
        <v>220.52</v>
      </c>
      <c r="I71" s="7">
        <v>220.52</v>
      </c>
      <c r="J71" s="8">
        <v>0.25</v>
      </c>
      <c r="K71" s="9">
        <f>275.65</f>
        <v>275.64999999999998</v>
      </c>
      <c r="L71" s="9">
        <f>275.65</f>
        <v>275.64999999999998</v>
      </c>
      <c r="M71" s="4"/>
      <c r="N71" s="10">
        <v>1</v>
      </c>
      <c r="O71" s="4" t="s">
        <v>26</v>
      </c>
      <c r="P71" s="11">
        <v>1</v>
      </c>
      <c r="Q71" s="9">
        <f>275.65</f>
        <v>275.64999999999998</v>
      </c>
    </row>
    <row r="72" spans="1:17" ht="45" customHeight="1" x14ac:dyDescent="0.25">
      <c r="A72" s="4" t="s">
        <v>20</v>
      </c>
      <c r="B72" s="5" t="s">
        <v>221</v>
      </c>
      <c r="C72" s="4" t="s">
        <v>37</v>
      </c>
      <c r="D72" s="4" t="s">
        <v>222</v>
      </c>
      <c r="E72" s="4" t="s">
        <v>223</v>
      </c>
      <c r="F72" s="6">
        <f>1</f>
        <v>1</v>
      </c>
      <c r="G72" s="4" t="s">
        <v>43</v>
      </c>
      <c r="H72" s="7">
        <v>505.3</v>
      </c>
      <c r="I72" s="7">
        <v>505.3</v>
      </c>
      <c r="J72" s="8">
        <v>0.25</v>
      </c>
      <c r="K72" s="9">
        <f>631.63</f>
        <v>631.63</v>
      </c>
      <c r="L72" s="9">
        <f>631.63</f>
        <v>631.63</v>
      </c>
      <c r="M72" s="4"/>
      <c r="N72" s="10">
        <v>1</v>
      </c>
      <c r="O72" s="4" t="s">
        <v>26</v>
      </c>
      <c r="P72" s="11">
        <v>1</v>
      </c>
      <c r="Q72" s="9">
        <f>631.63</f>
        <v>631.63</v>
      </c>
    </row>
    <row r="73" spans="1:17" ht="45" customHeight="1" x14ac:dyDescent="0.25">
      <c r="A73" s="4" t="s">
        <v>17</v>
      </c>
      <c r="B73" s="5" t="s">
        <v>204</v>
      </c>
      <c r="C73" s="4"/>
      <c r="D73" s="4"/>
      <c r="E73" s="4" t="s">
        <v>224</v>
      </c>
      <c r="F73" s="6"/>
      <c r="G73" s="4"/>
      <c r="H73" s="7"/>
      <c r="I73" s="7"/>
      <c r="J73" s="8"/>
      <c r="K73" s="9"/>
      <c r="L73" s="9">
        <f>13206.25</f>
        <v>13206.25</v>
      </c>
      <c r="M73" s="4"/>
      <c r="N73" s="10"/>
      <c r="O73" s="4"/>
      <c r="P73" s="11"/>
      <c r="Q73" s="9"/>
    </row>
    <row r="74" spans="1:17" ht="45" customHeight="1" x14ac:dyDescent="0.25">
      <c r="A74" s="4" t="s">
        <v>20</v>
      </c>
      <c r="B74" s="5" t="s">
        <v>225</v>
      </c>
      <c r="C74" s="4" t="s">
        <v>22</v>
      </c>
      <c r="D74" s="4" t="s">
        <v>226</v>
      </c>
      <c r="E74" s="4" t="s">
        <v>227</v>
      </c>
      <c r="F74" s="6">
        <f>1</f>
        <v>1</v>
      </c>
      <c r="G74" s="4" t="s">
        <v>43</v>
      </c>
      <c r="H74" s="7">
        <v>587.09</v>
      </c>
      <c r="I74" s="7">
        <v>587.09</v>
      </c>
      <c r="J74" s="8">
        <v>0.25</v>
      </c>
      <c r="K74" s="9">
        <f>733.86</f>
        <v>733.86</v>
      </c>
      <c r="L74" s="9">
        <f>733.86</f>
        <v>733.86</v>
      </c>
      <c r="M74" s="4"/>
      <c r="N74" s="10">
        <v>1</v>
      </c>
      <c r="O74" s="4" t="s">
        <v>26</v>
      </c>
      <c r="P74" s="11">
        <v>1</v>
      </c>
      <c r="Q74" s="9">
        <f>733.86</f>
        <v>733.86</v>
      </c>
    </row>
    <row r="75" spans="1:17" ht="45" customHeight="1" x14ac:dyDescent="0.25">
      <c r="A75" s="4" t="s">
        <v>20</v>
      </c>
      <c r="B75" s="5" t="s">
        <v>228</v>
      </c>
      <c r="C75" s="4" t="s">
        <v>22</v>
      </c>
      <c r="D75" s="4" t="s">
        <v>229</v>
      </c>
      <c r="E75" s="4" t="s">
        <v>230</v>
      </c>
      <c r="F75" s="6">
        <f>12</f>
        <v>12</v>
      </c>
      <c r="G75" s="4" t="s">
        <v>43</v>
      </c>
      <c r="H75" s="7">
        <v>8.26</v>
      </c>
      <c r="I75" s="7">
        <v>8.26</v>
      </c>
      <c r="J75" s="8">
        <v>0.25</v>
      </c>
      <c r="K75" s="9">
        <f>10.33</f>
        <v>10.33</v>
      </c>
      <c r="L75" s="9">
        <f>123.96</f>
        <v>123.96</v>
      </c>
      <c r="M75" s="4"/>
      <c r="N75" s="10">
        <v>1</v>
      </c>
      <c r="O75" s="4" t="s">
        <v>26</v>
      </c>
      <c r="P75" s="11">
        <v>12</v>
      </c>
      <c r="Q75" s="9">
        <f>123.96</f>
        <v>123.96</v>
      </c>
    </row>
    <row r="76" spans="1:17" ht="45" customHeight="1" x14ac:dyDescent="0.25">
      <c r="A76" s="4" t="s">
        <v>20</v>
      </c>
      <c r="B76" s="5" t="s">
        <v>231</v>
      </c>
      <c r="C76" s="4" t="s">
        <v>22</v>
      </c>
      <c r="D76" s="4" t="s">
        <v>232</v>
      </c>
      <c r="E76" s="4" t="s">
        <v>233</v>
      </c>
      <c r="F76" s="6">
        <f>10</f>
        <v>10</v>
      </c>
      <c r="G76" s="4" t="s">
        <v>43</v>
      </c>
      <c r="H76" s="7">
        <v>18.899999999999999</v>
      </c>
      <c r="I76" s="7">
        <v>18.899999999999999</v>
      </c>
      <c r="J76" s="8">
        <v>0.25</v>
      </c>
      <c r="K76" s="9">
        <f>23.63</f>
        <v>23.63</v>
      </c>
      <c r="L76" s="9">
        <f>236.3</f>
        <v>236.3</v>
      </c>
      <c r="M76" s="4"/>
      <c r="N76" s="10">
        <v>1</v>
      </c>
      <c r="O76" s="4" t="s">
        <v>26</v>
      </c>
      <c r="P76" s="11">
        <v>10</v>
      </c>
      <c r="Q76" s="9">
        <f>236.3</f>
        <v>236.3</v>
      </c>
    </row>
    <row r="77" spans="1:17" ht="45" customHeight="1" x14ac:dyDescent="0.25">
      <c r="A77" s="4" t="s">
        <v>20</v>
      </c>
      <c r="B77" s="5" t="s">
        <v>234</v>
      </c>
      <c r="C77" s="4" t="s">
        <v>22</v>
      </c>
      <c r="D77" s="4" t="s">
        <v>235</v>
      </c>
      <c r="E77" s="4" t="s">
        <v>236</v>
      </c>
      <c r="F77" s="6">
        <f>1</f>
        <v>1</v>
      </c>
      <c r="G77" s="4" t="s">
        <v>43</v>
      </c>
      <c r="H77" s="7">
        <v>12.22</v>
      </c>
      <c r="I77" s="7">
        <v>12.22</v>
      </c>
      <c r="J77" s="8">
        <v>0.25</v>
      </c>
      <c r="K77" s="9">
        <f>15.28</f>
        <v>15.28</v>
      </c>
      <c r="L77" s="9">
        <f>15.28</f>
        <v>15.28</v>
      </c>
      <c r="M77" s="4"/>
      <c r="N77" s="10">
        <v>1</v>
      </c>
      <c r="O77" s="4" t="s">
        <v>26</v>
      </c>
      <c r="P77" s="11">
        <v>1</v>
      </c>
      <c r="Q77" s="9">
        <f>15.28</f>
        <v>15.28</v>
      </c>
    </row>
    <row r="78" spans="1:17" ht="45" customHeight="1" x14ac:dyDescent="0.25">
      <c r="A78" s="4" t="s">
        <v>20</v>
      </c>
      <c r="B78" s="5" t="s">
        <v>237</v>
      </c>
      <c r="C78" s="4" t="s">
        <v>22</v>
      </c>
      <c r="D78" s="4" t="s">
        <v>238</v>
      </c>
      <c r="E78" s="4" t="s">
        <v>239</v>
      </c>
      <c r="F78" s="6">
        <f>1</f>
        <v>1</v>
      </c>
      <c r="G78" s="4" t="s">
        <v>43</v>
      </c>
      <c r="H78" s="7">
        <v>11.46</v>
      </c>
      <c r="I78" s="7">
        <v>11.46</v>
      </c>
      <c r="J78" s="8">
        <v>0.25</v>
      </c>
      <c r="K78" s="9">
        <f>14.33</f>
        <v>14.33</v>
      </c>
      <c r="L78" s="9">
        <f>14.33</f>
        <v>14.33</v>
      </c>
      <c r="M78" s="4"/>
      <c r="N78" s="10">
        <v>1</v>
      </c>
      <c r="O78" s="4" t="s">
        <v>26</v>
      </c>
      <c r="P78" s="11">
        <v>1</v>
      </c>
      <c r="Q78" s="9">
        <f>14.33</f>
        <v>14.33</v>
      </c>
    </row>
    <row r="79" spans="1:17" ht="45" customHeight="1" x14ac:dyDescent="0.25">
      <c r="A79" s="4" t="s">
        <v>20</v>
      </c>
      <c r="B79" s="5" t="s">
        <v>240</v>
      </c>
      <c r="C79" s="4" t="s">
        <v>22</v>
      </c>
      <c r="D79" s="4" t="s">
        <v>241</v>
      </c>
      <c r="E79" s="4" t="s">
        <v>242</v>
      </c>
      <c r="F79" s="6">
        <f>1</f>
        <v>1</v>
      </c>
      <c r="G79" s="4" t="s">
        <v>43</v>
      </c>
      <c r="H79" s="7">
        <v>9.07</v>
      </c>
      <c r="I79" s="7">
        <v>9.07</v>
      </c>
      <c r="J79" s="8">
        <v>0.25</v>
      </c>
      <c r="K79" s="9">
        <f>11.34</f>
        <v>11.34</v>
      </c>
      <c r="L79" s="9">
        <f>11.34</f>
        <v>11.34</v>
      </c>
      <c r="M79" s="4"/>
      <c r="N79" s="10">
        <v>1</v>
      </c>
      <c r="O79" s="4" t="s">
        <v>26</v>
      </c>
      <c r="P79" s="11">
        <v>1</v>
      </c>
      <c r="Q79" s="9">
        <f>11.34</f>
        <v>11.34</v>
      </c>
    </row>
    <row r="80" spans="1:17" ht="45" customHeight="1" x14ac:dyDescent="0.25">
      <c r="A80" s="4" t="s">
        <v>20</v>
      </c>
      <c r="B80" s="5" t="s">
        <v>243</v>
      </c>
      <c r="C80" s="4" t="s">
        <v>22</v>
      </c>
      <c r="D80" s="4" t="s">
        <v>244</v>
      </c>
      <c r="E80" s="4" t="s">
        <v>245</v>
      </c>
      <c r="F80" s="6">
        <f>1</f>
        <v>1</v>
      </c>
      <c r="G80" s="4" t="s">
        <v>43</v>
      </c>
      <c r="H80" s="7">
        <v>19.850000000000001</v>
      </c>
      <c r="I80" s="7">
        <v>19.850000000000001</v>
      </c>
      <c r="J80" s="8">
        <v>0.25</v>
      </c>
      <c r="K80" s="9">
        <f>24.81</f>
        <v>24.81</v>
      </c>
      <c r="L80" s="9">
        <f>24.81</f>
        <v>24.81</v>
      </c>
      <c r="M80" s="4"/>
      <c r="N80" s="10">
        <v>1</v>
      </c>
      <c r="O80" s="4" t="s">
        <v>26</v>
      </c>
      <c r="P80" s="11">
        <v>1</v>
      </c>
      <c r="Q80" s="9">
        <f>24.81</f>
        <v>24.81</v>
      </c>
    </row>
    <row r="81" spans="1:17" ht="45" customHeight="1" x14ac:dyDescent="0.25">
      <c r="A81" s="4" t="s">
        <v>20</v>
      </c>
      <c r="B81" s="5" t="s">
        <v>246</v>
      </c>
      <c r="C81" s="4" t="s">
        <v>22</v>
      </c>
      <c r="D81" s="4" t="s">
        <v>247</v>
      </c>
      <c r="E81" s="4" t="s">
        <v>248</v>
      </c>
      <c r="F81" s="6">
        <f>1</f>
        <v>1</v>
      </c>
      <c r="G81" s="4" t="s">
        <v>43</v>
      </c>
      <c r="H81" s="7">
        <v>21.49</v>
      </c>
      <c r="I81" s="7">
        <v>21.49</v>
      </c>
      <c r="J81" s="8">
        <v>0.25</v>
      </c>
      <c r="K81" s="9">
        <f>26.86</f>
        <v>26.86</v>
      </c>
      <c r="L81" s="9">
        <f>26.86</f>
        <v>26.86</v>
      </c>
      <c r="M81" s="4"/>
      <c r="N81" s="10">
        <v>1</v>
      </c>
      <c r="O81" s="4" t="s">
        <v>26</v>
      </c>
      <c r="P81" s="11">
        <v>1</v>
      </c>
      <c r="Q81" s="9">
        <f>26.86</f>
        <v>26.86</v>
      </c>
    </row>
    <row r="82" spans="1:17" ht="45" customHeight="1" x14ac:dyDescent="0.25">
      <c r="A82" s="4" t="s">
        <v>20</v>
      </c>
      <c r="B82" s="5" t="s">
        <v>249</v>
      </c>
      <c r="C82" s="4" t="s">
        <v>22</v>
      </c>
      <c r="D82" s="4" t="s">
        <v>250</v>
      </c>
      <c r="E82" s="4" t="s">
        <v>251</v>
      </c>
      <c r="F82" s="6">
        <f>21.34</f>
        <v>21.34</v>
      </c>
      <c r="G82" s="4" t="s">
        <v>30</v>
      </c>
      <c r="H82" s="7">
        <v>11.89</v>
      </c>
      <c r="I82" s="7">
        <v>11.89</v>
      </c>
      <c r="J82" s="8">
        <v>0.25</v>
      </c>
      <c r="K82" s="9">
        <f>14.86</f>
        <v>14.86</v>
      </c>
      <c r="L82" s="9">
        <f>317.11</f>
        <v>317.11</v>
      </c>
      <c r="M82" s="4"/>
      <c r="N82" s="10">
        <v>1</v>
      </c>
      <c r="O82" s="4" t="s">
        <v>26</v>
      </c>
      <c r="P82" s="11">
        <v>21.34</v>
      </c>
      <c r="Q82" s="9">
        <f>317.11</f>
        <v>317.11</v>
      </c>
    </row>
    <row r="83" spans="1:17" ht="45" customHeight="1" x14ac:dyDescent="0.25">
      <c r="A83" s="4" t="s">
        <v>20</v>
      </c>
      <c r="B83" s="5" t="s">
        <v>252</v>
      </c>
      <c r="C83" s="4" t="s">
        <v>22</v>
      </c>
      <c r="D83" s="4" t="s">
        <v>253</v>
      </c>
      <c r="E83" s="4" t="s">
        <v>254</v>
      </c>
      <c r="F83" s="6">
        <f>11.77</f>
        <v>11.77</v>
      </c>
      <c r="G83" s="4" t="s">
        <v>30</v>
      </c>
      <c r="H83" s="7">
        <v>21.99</v>
      </c>
      <c r="I83" s="7">
        <v>21.99</v>
      </c>
      <c r="J83" s="8">
        <v>0.25</v>
      </c>
      <c r="K83" s="9">
        <f>27.49</f>
        <v>27.49</v>
      </c>
      <c r="L83" s="9">
        <f>323.56</f>
        <v>323.56</v>
      </c>
      <c r="M83" s="4"/>
      <c r="N83" s="10">
        <v>1</v>
      </c>
      <c r="O83" s="4" t="s">
        <v>26</v>
      </c>
      <c r="P83" s="11">
        <v>11.77</v>
      </c>
      <c r="Q83" s="9">
        <f>323.56</f>
        <v>323.56</v>
      </c>
    </row>
    <row r="84" spans="1:17" ht="45" customHeight="1" x14ac:dyDescent="0.25">
      <c r="A84" s="4" t="s">
        <v>20</v>
      </c>
      <c r="B84" s="5" t="s">
        <v>255</v>
      </c>
      <c r="C84" s="4" t="s">
        <v>22</v>
      </c>
      <c r="D84" s="4" t="s">
        <v>256</v>
      </c>
      <c r="E84" s="4" t="s">
        <v>257</v>
      </c>
      <c r="F84" s="6">
        <f>2</f>
        <v>2</v>
      </c>
      <c r="G84" s="4" t="s">
        <v>43</v>
      </c>
      <c r="H84" s="7">
        <v>27.69</v>
      </c>
      <c r="I84" s="7">
        <v>27.69</v>
      </c>
      <c r="J84" s="8">
        <v>0.25</v>
      </c>
      <c r="K84" s="9">
        <f>34.61</f>
        <v>34.61</v>
      </c>
      <c r="L84" s="9">
        <f>69.22</f>
        <v>69.22</v>
      </c>
      <c r="M84" s="4"/>
      <c r="N84" s="10">
        <v>1</v>
      </c>
      <c r="O84" s="4" t="s">
        <v>26</v>
      </c>
      <c r="P84" s="11">
        <v>2</v>
      </c>
      <c r="Q84" s="9">
        <f>69.22</f>
        <v>69.22</v>
      </c>
    </row>
    <row r="85" spans="1:17" ht="45" customHeight="1" x14ac:dyDescent="0.25">
      <c r="A85" s="4" t="s">
        <v>20</v>
      </c>
      <c r="B85" s="5" t="s">
        <v>258</v>
      </c>
      <c r="C85" s="4" t="s">
        <v>22</v>
      </c>
      <c r="D85" s="4" t="s">
        <v>259</v>
      </c>
      <c r="E85" s="4" t="s">
        <v>260</v>
      </c>
      <c r="F85" s="6">
        <f>3</f>
        <v>3</v>
      </c>
      <c r="G85" s="4" t="s">
        <v>43</v>
      </c>
      <c r="H85" s="7">
        <v>57.32</v>
      </c>
      <c r="I85" s="7">
        <v>57.32</v>
      </c>
      <c r="J85" s="8">
        <v>0.25</v>
      </c>
      <c r="K85" s="9">
        <f>71.65</f>
        <v>71.650000000000006</v>
      </c>
      <c r="L85" s="9">
        <f>214.95</f>
        <v>214.95</v>
      </c>
      <c r="M85" s="4"/>
      <c r="N85" s="10">
        <v>1</v>
      </c>
      <c r="O85" s="4" t="s">
        <v>26</v>
      </c>
      <c r="P85" s="11">
        <v>3</v>
      </c>
      <c r="Q85" s="9">
        <f>214.95</f>
        <v>214.95</v>
      </c>
    </row>
    <row r="86" spans="1:17" ht="45" customHeight="1" x14ac:dyDescent="0.25">
      <c r="A86" s="4" t="s">
        <v>20</v>
      </c>
      <c r="B86" s="5" t="s">
        <v>261</v>
      </c>
      <c r="C86" s="4" t="s">
        <v>22</v>
      </c>
      <c r="D86" s="4" t="s">
        <v>262</v>
      </c>
      <c r="E86" s="4" t="s">
        <v>263</v>
      </c>
      <c r="F86" s="6">
        <f>2</f>
        <v>2</v>
      </c>
      <c r="G86" s="4" t="s">
        <v>43</v>
      </c>
      <c r="H86" s="7">
        <v>85.9</v>
      </c>
      <c r="I86" s="7">
        <v>85.9</v>
      </c>
      <c r="J86" s="8">
        <v>0.25</v>
      </c>
      <c r="K86" s="9">
        <f>107.38</f>
        <v>107.38</v>
      </c>
      <c r="L86" s="9">
        <f>214.76</f>
        <v>214.76</v>
      </c>
      <c r="M86" s="4"/>
      <c r="N86" s="10">
        <v>1</v>
      </c>
      <c r="O86" s="4" t="s">
        <v>26</v>
      </c>
      <c r="P86" s="11">
        <v>2</v>
      </c>
      <c r="Q86" s="9">
        <f>214.76</f>
        <v>214.76</v>
      </c>
    </row>
    <row r="87" spans="1:17" ht="45" customHeight="1" x14ac:dyDescent="0.25">
      <c r="A87" s="4" t="s">
        <v>20</v>
      </c>
      <c r="B87" s="5" t="s">
        <v>264</v>
      </c>
      <c r="C87" s="4" t="s">
        <v>22</v>
      </c>
      <c r="D87" s="4" t="s">
        <v>265</v>
      </c>
      <c r="E87" s="4" t="s">
        <v>266</v>
      </c>
      <c r="F87" s="6">
        <f>2</f>
        <v>2</v>
      </c>
      <c r="G87" s="4" t="s">
        <v>43</v>
      </c>
      <c r="H87" s="7">
        <v>12.67</v>
      </c>
      <c r="I87" s="7">
        <v>12.67</v>
      </c>
      <c r="J87" s="8">
        <v>0.25</v>
      </c>
      <c r="K87" s="9">
        <f>15.84</f>
        <v>15.84</v>
      </c>
      <c r="L87" s="9">
        <f>31.68</f>
        <v>31.68</v>
      </c>
      <c r="M87" s="4"/>
      <c r="N87" s="10">
        <v>1</v>
      </c>
      <c r="O87" s="4" t="s">
        <v>26</v>
      </c>
      <c r="P87" s="11">
        <v>2</v>
      </c>
      <c r="Q87" s="9">
        <f>31.68</f>
        <v>31.68</v>
      </c>
    </row>
    <row r="88" spans="1:17" ht="45" customHeight="1" x14ac:dyDescent="0.25">
      <c r="A88" s="4" t="s">
        <v>20</v>
      </c>
      <c r="B88" s="5" t="s">
        <v>267</v>
      </c>
      <c r="C88" s="4" t="s">
        <v>22</v>
      </c>
      <c r="D88" s="4" t="s">
        <v>268</v>
      </c>
      <c r="E88" s="4" t="s">
        <v>269</v>
      </c>
      <c r="F88" s="6">
        <f>1</f>
        <v>1</v>
      </c>
      <c r="G88" s="4" t="s">
        <v>43</v>
      </c>
      <c r="H88" s="7">
        <v>441.43</v>
      </c>
      <c r="I88" s="7">
        <v>441.43</v>
      </c>
      <c r="J88" s="8">
        <v>0.25</v>
      </c>
      <c r="K88" s="9">
        <f>551.79</f>
        <v>551.79</v>
      </c>
      <c r="L88" s="9">
        <f>551.79</f>
        <v>551.79</v>
      </c>
      <c r="M88" s="4"/>
      <c r="N88" s="10">
        <v>1</v>
      </c>
      <c r="O88" s="4" t="s">
        <v>26</v>
      </c>
      <c r="P88" s="11">
        <v>1</v>
      </c>
      <c r="Q88" s="9">
        <f>551.79</f>
        <v>551.79</v>
      </c>
    </row>
    <row r="89" spans="1:17" ht="45" customHeight="1" x14ac:dyDescent="0.25">
      <c r="A89" s="4" t="s">
        <v>20</v>
      </c>
      <c r="B89" s="5" t="s">
        <v>270</v>
      </c>
      <c r="C89" s="4" t="s">
        <v>22</v>
      </c>
      <c r="D89" s="4" t="s">
        <v>271</v>
      </c>
      <c r="E89" s="4" t="s">
        <v>272</v>
      </c>
      <c r="F89" s="6">
        <f>2</f>
        <v>2</v>
      </c>
      <c r="G89" s="4" t="s">
        <v>43</v>
      </c>
      <c r="H89" s="7">
        <v>69.12</v>
      </c>
      <c r="I89" s="7">
        <v>69.12</v>
      </c>
      <c r="J89" s="8">
        <v>0.25</v>
      </c>
      <c r="K89" s="9">
        <f>86.4</f>
        <v>86.4</v>
      </c>
      <c r="L89" s="9">
        <f>172.8</f>
        <v>172.8</v>
      </c>
      <c r="M89" s="4"/>
      <c r="N89" s="10">
        <v>1</v>
      </c>
      <c r="O89" s="4" t="s">
        <v>26</v>
      </c>
      <c r="P89" s="11">
        <v>2</v>
      </c>
      <c r="Q89" s="9">
        <f>172.8</f>
        <v>172.8</v>
      </c>
    </row>
    <row r="90" spans="1:17" ht="45" customHeight="1" x14ac:dyDescent="0.25">
      <c r="A90" s="4" t="s">
        <v>20</v>
      </c>
      <c r="B90" s="5" t="s">
        <v>273</v>
      </c>
      <c r="C90" s="4" t="s">
        <v>22</v>
      </c>
      <c r="D90" s="4" t="s">
        <v>274</v>
      </c>
      <c r="E90" s="4" t="s">
        <v>275</v>
      </c>
      <c r="F90" s="6">
        <f>2</f>
        <v>2</v>
      </c>
      <c r="G90" s="4" t="s">
        <v>43</v>
      </c>
      <c r="H90" s="7">
        <v>12.91</v>
      </c>
      <c r="I90" s="7">
        <v>12.91</v>
      </c>
      <c r="J90" s="8">
        <v>0.25</v>
      </c>
      <c r="K90" s="9">
        <f>16.14</f>
        <v>16.14</v>
      </c>
      <c r="L90" s="9">
        <f>32.28</f>
        <v>32.28</v>
      </c>
      <c r="M90" s="4"/>
      <c r="N90" s="10">
        <v>1</v>
      </c>
      <c r="O90" s="4" t="s">
        <v>26</v>
      </c>
      <c r="P90" s="11">
        <v>2</v>
      </c>
      <c r="Q90" s="9">
        <f>32.28</f>
        <v>32.28</v>
      </c>
    </row>
    <row r="91" spans="1:17" ht="45" customHeight="1" x14ac:dyDescent="0.25">
      <c r="A91" s="4" t="s">
        <v>20</v>
      </c>
      <c r="B91" s="5" t="s">
        <v>276</v>
      </c>
      <c r="C91" s="4" t="s">
        <v>22</v>
      </c>
      <c r="D91" s="4" t="s">
        <v>277</v>
      </c>
      <c r="E91" s="4" t="s">
        <v>278</v>
      </c>
      <c r="F91" s="6">
        <f>1</f>
        <v>1</v>
      </c>
      <c r="G91" s="4" t="s">
        <v>43</v>
      </c>
      <c r="H91" s="7">
        <v>28.11</v>
      </c>
      <c r="I91" s="7">
        <v>28.11</v>
      </c>
      <c r="J91" s="8">
        <v>0.25</v>
      </c>
      <c r="K91" s="9">
        <f>35.14</f>
        <v>35.14</v>
      </c>
      <c r="L91" s="9">
        <f>35.14</f>
        <v>35.14</v>
      </c>
      <c r="M91" s="4"/>
      <c r="N91" s="10">
        <v>1</v>
      </c>
      <c r="O91" s="4" t="s">
        <v>26</v>
      </c>
      <c r="P91" s="11">
        <v>1</v>
      </c>
      <c r="Q91" s="9">
        <f>35.14</f>
        <v>35.14</v>
      </c>
    </row>
    <row r="92" spans="1:17" ht="45" customHeight="1" x14ac:dyDescent="0.25">
      <c r="A92" s="4" t="s">
        <v>20</v>
      </c>
      <c r="B92" s="5" t="s">
        <v>279</v>
      </c>
      <c r="C92" s="4" t="s">
        <v>22</v>
      </c>
      <c r="D92" s="4" t="s">
        <v>280</v>
      </c>
      <c r="E92" s="4" t="s">
        <v>281</v>
      </c>
      <c r="F92" s="6">
        <f>2</f>
        <v>2</v>
      </c>
      <c r="G92" s="4" t="s">
        <v>43</v>
      </c>
      <c r="H92" s="7">
        <v>10.18</v>
      </c>
      <c r="I92" s="7">
        <v>10.18</v>
      </c>
      <c r="J92" s="8">
        <v>0.25</v>
      </c>
      <c r="K92" s="9">
        <f>12.73</f>
        <v>12.73</v>
      </c>
      <c r="L92" s="9">
        <f>25.46</f>
        <v>25.46</v>
      </c>
      <c r="M92" s="4"/>
      <c r="N92" s="10">
        <v>1</v>
      </c>
      <c r="O92" s="4" t="s">
        <v>26</v>
      </c>
      <c r="P92" s="11">
        <v>2</v>
      </c>
      <c r="Q92" s="9">
        <f>25.46</f>
        <v>25.46</v>
      </c>
    </row>
    <row r="93" spans="1:17" ht="45" customHeight="1" x14ac:dyDescent="0.25">
      <c r="A93" s="4" t="s">
        <v>20</v>
      </c>
      <c r="B93" s="5" t="s">
        <v>282</v>
      </c>
      <c r="C93" s="4" t="s">
        <v>22</v>
      </c>
      <c r="D93" s="4" t="s">
        <v>283</v>
      </c>
      <c r="E93" s="4" t="s">
        <v>284</v>
      </c>
      <c r="F93" s="6">
        <f>4</f>
        <v>4</v>
      </c>
      <c r="G93" s="4" t="s">
        <v>43</v>
      </c>
      <c r="H93" s="7">
        <v>15.33</v>
      </c>
      <c r="I93" s="7">
        <v>15.33</v>
      </c>
      <c r="J93" s="8">
        <v>0.25</v>
      </c>
      <c r="K93" s="9">
        <f>19.16</f>
        <v>19.16</v>
      </c>
      <c r="L93" s="9">
        <f>76.64</f>
        <v>76.64</v>
      </c>
      <c r="M93" s="4"/>
      <c r="N93" s="10">
        <v>1</v>
      </c>
      <c r="O93" s="4" t="s">
        <v>26</v>
      </c>
      <c r="P93" s="11">
        <v>4</v>
      </c>
      <c r="Q93" s="9">
        <f>76.64</f>
        <v>76.64</v>
      </c>
    </row>
    <row r="94" spans="1:17" ht="45" customHeight="1" x14ac:dyDescent="0.25">
      <c r="A94" s="4" t="s">
        <v>20</v>
      </c>
      <c r="B94" s="5" t="s">
        <v>285</v>
      </c>
      <c r="C94" s="4" t="s">
        <v>22</v>
      </c>
      <c r="D94" s="4" t="s">
        <v>286</v>
      </c>
      <c r="E94" s="4" t="s">
        <v>287</v>
      </c>
      <c r="F94" s="6">
        <f>2</f>
        <v>2</v>
      </c>
      <c r="G94" s="4" t="s">
        <v>43</v>
      </c>
      <c r="H94" s="7">
        <v>27.26</v>
      </c>
      <c r="I94" s="7">
        <v>27.26</v>
      </c>
      <c r="J94" s="8">
        <v>0.25</v>
      </c>
      <c r="K94" s="9">
        <f>34.08</f>
        <v>34.08</v>
      </c>
      <c r="L94" s="9">
        <f>68.16</f>
        <v>68.16</v>
      </c>
      <c r="M94" s="4"/>
      <c r="N94" s="10">
        <v>1</v>
      </c>
      <c r="O94" s="4" t="s">
        <v>26</v>
      </c>
      <c r="P94" s="11">
        <v>2</v>
      </c>
      <c r="Q94" s="9">
        <f>68.16</f>
        <v>68.16</v>
      </c>
    </row>
    <row r="95" spans="1:17" ht="45" customHeight="1" x14ac:dyDescent="0.25">
      <c r="A95" s="4" t="s">
        <v>20</v>
      </c>
      <c r="B95" s="5" t="s">
        <v>288</v>
      </c>
      <c r="C95" s="4" t="s">
        <v>22</v>
      </c>
      <c r="D95" s="4" t="s">
        <v>289</v>
      </c>
      <c r="E95" s="4" t="s">
        <v>290</v>
      </c>
      <c r="F95" s="6">
        <f>2</f>
        <v>2</v>
      </c>
      <c r="G95" s="4" t="s">
        <v>43</v>
      </c>
      <c r="H95" s="7">
        <v>9.9499999999999993</v>
      </c>
      <c r="I95" s="7">
        <v>9.9499999999999993</v>
      </c>
      <c r="J95" s="8">
        <v>0.25</v>
      </c>
      <c r="K95" s="9">
        <f>12.44</f>
        <v>12.44</v>
      </c>
      <c r="L95" s="9">
        <f>24.88</f>
        <v>24.88</v>
      </c>
      <c r="M95" s="4"/>
      <c r="N95" s="10">
        <v>1</v>
      </c>
      <c r="O95" s="4" t="s">
        <v>26</v>
      </c>
      <c r="P95" s="11">
        <v>2</v>
      </c>
      <c r="Q95" s="9">
        <f>24.88</f>
        <v>24.88</v>
      </c>
    </row>
    <row r="96" spans="1:17" ht="45" customHeight="1" x14ac:dyDescent="0.25">
      <c r="A96" s="4" t="s">
        <v>20</v>
      </c>
      <c r="B96" s="5" t="s">
        <v>291</v>
      </c>
      <c r="C96" s="4" t="s">
        <v>22</v>
      </c>
      <c r="D96" s="4" t="s">
        <v>292</v>
      </c>
      <c r="E96" s="4" t="s">
        <v>293</v>
      </c>
      <c r="F96" s="6">
        <f>2</f>
        <v>2</v>
      </c>
      <c r="G96" s="4" t="s">
        <v>43</v>
      </c>
      <c r="H96" s="7">
        <v>14.59</v>
      </c>
      <c r="I96" s="7">
        <v>14.59</v>
      </c>
      <c r="J96" s="8">
        <v>0.25</v>
      </c>
      <c r="K96" s="9">
        <f>18.24</f>
        <v>18.239999999999998</v>
      </c>
      <c r="L96" s="9">
        <f>36.48</f>
        <v>36.479999999999997</v>
      </c>
      <c r="M96" s="4"/>
      <c r="N96" s="10">
        <v>1</v>
      </c>
      <c r="O96" s="4" t="s">
        <v>26</v>
      </c>
      <c r="P96" s="11">
        <v>2</v>
      </c>
      <c r="Q96" s="9">
        <f>36.48</f>
        <v>36.479999999999997</v>
      </c>
    </row>
    <row r="97" spans="1:17" ht="45" customHeight="1" x14ac:dyDescent="0.25">
      <c r="A97" s="4" t="s">
        <v>20</v>
      </c>
      <c r="B97" s="5" t="s">
        <v>294</v>
      </c>
      <c r="C97" s="4" t="s">
        <v>22</v>
      </c>
      <c r="D97" s="4" t="s">
        <v>295</v>
      </c>
      <c r="E97" s="4" t="s">
        <v>296</v>
      </c>
      <c r="F97" s="6">
        <f>1</f>
        <v>1</v>
      </c>
      <c r="G97" s="4" t="s">
        <v>43</v>
      </c>
      <c r="H97" s="7">
        <v>51.18</v>
      </c>
      <c r="I97" s="7">
        <v>51.18</v>
      </c>
      <c r="J97" s="8">
        <v>0.25</v>
      </c>
      <c r="K97" s="9">
        <f>63.98</f>
        <v>63.98</v>
      </c>
      <c r="L97" s="9">
        <f>63.98</f>
        <v>63.98</v>
      </c>
      <c r="M97" s="4"/>
      <c r="N97" s="10">
        <v>1</v>
      </c>
      <c r="O97" s="4" t="s">
        <v>26</v>
      </c>
      <c r="P97" s="11">
        <v>1</v>
      </c>
      <c r="Q97" s="9">
        <f>63.98</f>
        <v>63.98</v>
      </c>
    </row>
    <row r="98" spans="1:17" ht="45" customHeight="1" x14ac:dyDescent="0.25">
      <c r="A98" s="4" t="s">
        <v>20</v>
      </c>
      <c r="B98" s="5" t="s">
        <v>297</v>
      </c>
      <c r="C98" s="4" t="s">
        <v>22</v>
      </c>
      <c r="D98" s="4" t="s">
        <v>298</v>
      </c>
      <c r="E98" s="4" t="s">
        <v>299</v>
      </c>
      <c r="F98" s="6">
        <f>2</f>
        <v>2</v>
      </c>
      <c r="G98" s="4" t="s">
        <v>43</v>
      </c>
      <c r="H98" s="7">
        <v>26.21</v>
      </c>
      <c r="I98" s="7">
        <v>26.21</v>
      </c>
      <c r="J98" s="8">
        <v>0.25</v>
      </c>
      <c r="K98" s="9">
        <f>32.76</f>
        <v>32.76</v>
      </c>
      <c r="L98" s="9">
        <f>65.52</f>
        <v>65.52</v>
      </c>
      <c r="M98" s="4"/>
      <c r="N98" s="10">
        <v>1</v>
      </c>
      <c r="O98" s="4" t="s">
        <v>26</v>
      </c>
      <c r="P98" s="11">
        <v>2</v>
      </c>
      <c r="Q98" s="9">
        <f>65.52</f>
        <v>65.52</v>
      </c>
    </row>
    <row r="99" spans="1:17" ht="45" customHeight="1" x14ac:dyDescent="0.25">
      <c r="A99" s="4" t="s">
        <v>20</v>
      </c>
      <c r="B99" s="5" t="s">
        <v>300</v>
      </c>
      <c r="C99" s="4" t="s">
        <v>22</v>
      </c>
      <c r="D99" s="4" t="s">
        <v>301</v>
      </c>
      <c r="E99" s="4" t="s">
        <v>302</v>
      </c>
      <c r="F99" s="6">
        <f>2</f>
        <v>2</v>
      </c>
      <c r="G99" s="4" t="s">
        <v>43</v>
      </c>
      <c r="H99" s="7">
        <v>17.71</v>
      </c>
      <c r="I99" s="7">
        <v>17.71</v>
      </c>
      <c r="J99" s="8">
        <v>0.25</v>
      </c>
      <c r="K99" s="9">
        <f>22.14</f>
        <v>22.14</v>
      </c>
      <c r="L99" s="9">
        <f>44.28</f>
        <v>44.28</v>
      </c>
      <c r="M99" s="4"/>
      <c r="N99" s="10">
        <v>1</v>
      </c>
      <c r="O99" s="4" t="s">
        <v>26</v>
      </c>
      <c r="P99" s="11">
        <v>2</v>
      </c>
      <c r="Q99" s="9">
        <f>44.28</f>
        <v>44.28</v>
      </c>
    </row>
    <row r="100" spans="1:17" ht="45" customHeight="1" x14ac:dyDescent="0.25">
      <c r="A100" s="4" t="s">
        <v>20</v>
      </c>
      <c r="B100" s="5" t="s">
        <v>303</v>
      </c>
      <c r="C100" s="4" t="s">
        <v>22</v>
      </c>
      <c r="D100" s="4" t="s">
        <v>304</v>
      </c>
      <c r="E100" s="4" t="s">
        <v>305</v>
      </c>
      <c r="F100" s="6">
        <f>7</f>
        <v>7</v>
      </c>
      <c r="G100" s="4" t="s">
        <v>43</v>
      </c>
      <c r="H100" s="7">
        <v>9.16</v>
      </c>
      <c r="I100" s="7">
        <v>9.16</v>
      </c>
      <c r="J100" s="8">
        <v>0.25</v>
      </c>
      <c r="K100" s="9">
        <f>11.45</f>
        <v>11.45</v>
      </c>
      <c r="L100" s="9">
        <f>80.15</f>
        <v>80.150000000000006</v>
      </c>
      <c r="M100" s="4"/>
      <c r="N100" s="10">
        <v>1</v>
      </c>
      <c r="O100" s="4" t="s">
        <v>26</v>
      </c>
      <c r="P100" s="11">
        <v>7</v>
      </c>
      <c r="Q100" s="9">
        <f>80.15</f>
        <v>80.150000000000006</v>
      </c>
    </row>
    <row r="101" spans="1:17" ht="45" customHeight="1" x14ac:dyDescent="0.25">
      <c r="A101" s="4" t="s">
        <v>20</v>
      </c>
      <c r="B101" s="5" t="s">
        <v>306</v>
      </c>
      <c r="C101" s="4" t="s">
        <v>22</v>
      </c>
      <c r="D101" s="4" t="s">
        <v>307</v>
      </c>
      <c r="E101" s="4" t="s">
        <v>308</v>
      </c>
      <c r="F101" s="6">
        <f>1</f>
        <v>1</v>
      </c>
      <c r="G101" s="4" t="s">
        <v>43</v>
      </c>
      <c r="H101" s="7">
        <v>23.82</v>
      </c>
      <c r="I101" s="7">
        <v>23.82</v>
      </c>
      <c r="J101" s="8">
        <v>0.25</v>
      </c>
      <c r="K101" s="9">
        <f>29.78</f>
        <v>29.78</v>
      </c>
      <c r="L101" s="9">
        <f>29.78</f>
        <v>29.78</v>
      </c>
      <c r="M101" s="4"/>
      <c r="N101" s="10">
        <v>1</v>
      </c>
      <c r="O101" s="4" t="s">
        <v>26</v>
      </c>
      <c r="P101" s="11">
        <v>1</v>
      </c>
      <c r="Q101" s="9">
        <f>29.78</f>
        <v>29.78</v>
      </c>
    </row>
    <row r="102" spans="1:17" ht="45" customHeight="1" x14ac:dyDescent="0.25">
      <c r="A102" s="4" t="s">
        <v>20</v>
      </c>
      <c r="B102" s="5" t="s">
        <v>309</v>
      </c>
      <c r="C102" s="4" t="s">
        <v>22</v>
      </c>
      <c r="D102" s="4" t="s">
        <v>310</v>
      </c>
      <c r="E102" s="4" t="s">
        <v>311</v>
      </c>
      <c r="F102" s="6">
        <f>1</f>
        <v>1</v>
      </c>
      <c r="G102" s="4" t="s">
        <v>43</v>
      </c>
      <c r="H102" s="7">
        <v>11.27</v>
      </c>
      <c r="I102" s="7">
        <v>11.27</v>
      </c>
      <c r="J102" s="8">
        <v>0.25</v>
      </c>
      <c r="K102" s="9">
        <f>14.09</f>
        <v>14.09</v>
      </c>
      <c r="L102" s="9">
        <f>14.09</f>
        <v>14.09</v>
      </c>
      <c r="M102" s="4"/>
      <c r="N102" s="10">
        <v>1</v>
      </c>
      <c r="O102" s="4" t="s">
        <v>26</v>
      </c>
      <c r="P102" s="11">
        <v>1</v>
      </c>
      <c r="Q102" s="9">
        <f>14.09</f>
        <v>14.09</v>
      </c>
    </row>
    <row r="103" spans="1:17" ht="45" customHeight="1" x14ac:dyDescent="0.25">
      <c r="A103" s="4" t="s">
        <v>20</v>
      </c>
      <c r="B103" s="5" t="s">
        <v>312</v>
      </c>
      <c r="C103" s="4" t="s">
        <v>22</v>
      </c>
      <c r="D103" s="4" t="s">
        <v>313</v>
      </c>
      <c r="E103" s="4" t="s">
        <v>314</v>
      </c>
      <c r="F103" s="6">
        <f>12.22</f>
        <v>12.22</v>
      </c>
      <c r="G103" s="4" t="s">
        <v>30</v>
      </c>
      <c r="H103" s="7">
        <v>36.39</v>
      </c>
      <c r="I103" s="7">
        <v>36.39</v>
      </c>
      <c r="J103" s="8">
        <v>0.25</v>
      </c>
      <c r="K103" s="9">
        <f>45.49</f>
        <v>45.49</v>
      </c>
      <c r="L103" s="9">
        <f>555.89</f>
        <v>555.89</v>
      </c>
      <c r="M103" s="4"/>
      <c r="N103" s="10">
        <v>1</v>
      </c>
      <c r="O103" s="4" t="s">
        <v>26</v>
      </c>
      <c r="P103" s="11">
        <v>12.22</v>
      </c>
      <c r="Q103" s="9">
        <f>555.89</f>
        <v>555.89</v>
      </c>
    </row>
    <row r="104" spans="1:17" ht="45" customHeight="1" x14ac:dyDescent="0.25">
      <c r="A104" s="4" t="s">
        <v>20</v>
      </c>
      <c r="B104" s="5" t="s">
        <v>315</v>
      </c>
      <c r="C104" s="4" t="s">
        <v>22</v>
      </c>
      <c r="D104" s="4" t="s">
        <v>316</v>
      </c>
      <c r="E104" s="4" t="s">
        <v>317</v>
      </c>
      <c r="F104" s="6">
        <f>8.89</f>
        <v>8.89</v>
      </c>
      <c r="G104" s="4" t="s">
        <v>30</v>
      </c>
      <c r="H104" s="7">
        <v>26.14</v>
      </c>
      <c r="I104" s="7">
        <v>26.14</v>
      </c>
      <c r="J104" s="8">
        <v>0.25</v>
      </c>
      <c r="K104" s="9">
        <f>32.68</f>
        <v>32.68</v>
      </c>
      <c r="L104" s="9">
        <f>290.53</f>
        <v>290.52999999999997</v>
      </c>
      <c r="M104" s="4"/>
      <c r="N104" s="10">
        <v>1</v>
      </c>
      <c r="O104" s="4" t="s">
        <v>26</v>
      </c>
      <c r="P104" s="11">
        <v>8.89</v>
      </c>
      <c r="Q104" s="9">
        <f>290.53</f>
        <v>290.52999999999997</v>
      </c>
    </row>
    <row r="105" spans="1:17" ht="45" customHeight="1" x14ac:dyDescent="0.25">
      <c r="A105" s="4" t="s">
        <v>20</v>
      </c>
      <c r="B105" s="5" t="s">
        <v>318</v>
      </c>
      <c r="C105" s="4" t="s">
        <v>22</v>
      </c>
      <c r="D105" s="4" t="s">
        <v>319</v>
      </c>
      <c r="E105" s="4" t="s">
        <v>320</v>
      </c>
      <c r="F105" s="6">
        <f>1.88</f>
        <v>1.88</v>
      </c>
      <c r="G105" s="4" t="s">
        <v>30</v>
      </c>
      <c r="H105" s="7">
        <v>20.420000000000002</v>
      </c>
      <c r="I105" s="7">
        <v>20.420000000000002</v>
      </c>
      <c r="J105" s="8">
        <v>0.25</v>
      </c>
      <c r="K105" s="9">
        <f>25.53</f>
        <v>25.53</v>
      </c>
      <c r="L105" s="9">
        <f>48</f>
        <v>48</v>
      </c>
      <c r="M105" s="4"/>
      <c r="N105" s="10">
        <v>1</v>
      </c>
      <c r="O105" s="4" t="s">
        <v>26</v>
      </c>
      <c r="P105" s="11">
        <v>1.88</v>
      </c>
      <c r="Q105" s="9">
        <f>48</f>
        <v>48</v>
      </c>
    </row>
    <row r="106" spans="1:17" ht="45" customHeight="1" x14ac:dyDescent="0.25">
      <c r="A106" s="4" t="s">
        <v>20</v>
      </c>
      <c r="B106" s="5" t="s">
        <v>321</v>
      </c>
      <c r="C106" s="4" t="s">
        <v>22</v>
      </c>
      <c r="D106" s="4" t="s">
        <v>322</v>
      </c>
      <c r="E106" s="4" t="s">
        <v>323</v>
      </c>
      <c r="F106" s="6">
        <f>1</f>
        <v>1</v>
      </c>
      <c r="G106" s="4" t="s">
        <v>43</v>
      </c>
      <c r="H106" s="7">
        <v>3216.34</v>
      </c>
      <c r="I106" s="7">
        <v>3216.34</v>
      </c>
      <c r="J106" s="8">
        <v>0.25</v>
      </c>
      <c r="K106" s="9">
        <f>4020.43</f>
        <v>4020.43</v>
      </c>
      <c r="L106" s="9">
        <f>4020.43</f>
        <v>4020.43</v>
      </c>
      <c r="M106" s="4"/>
      <c r="N106" s="10">
        <v>1</v>
      </c>
      <c r="O106" s="4" t="s">
        <v>26</v>
      </c>
      <c r="P106" s="11">
        <v>1</v>
      </c>
      <c r="Q106" s="9">
        <f>4020.43</f>
        <v>4020.43</v>
      </c>
    </row>
    <row r="107" spans="1:17" ht="45" customHeight="1" x14ac:dyDescent="0.25">
      <c r="A107" s="4" t="s">
        <v>20</v>
      </c>
      <c r="B107" s="5" t="s">
        <v>324</v>
      </c>
      <c r="C107" s="4" t="s">
        <v>22</v>
      </c>
      <c r="D107" s="4" t="s">
        <v>325</v>
      </c>
      <c r="E107" s="4" t="s">
        <v>326</v>
      </c>
      <c r="F107" s="6">
        <f>1</f>
        <v>1</v>
      </c>
      <c r="G107" s="4" t="s">
        <v>43</v>
      </c>
      <c r="H107" s="7">
        <v>3689.56</v>
      </c>
      <c r="I107" s="7">
        <v>3689.56</v>
      </c>
      <c r="J107" s="8">
        <v>0.25</v>
      </c>
      <c r="K107" s="9">
        <f>4611.95</f>
        <v>4611.95</v>
      </c>
      <c r="L107" s="9">
        <f>4611.95</f>
        <v>4611.95</v>
      </c>
      <c r="M107" s="4"/>
      <c r="N107" s="10">
        <v>1</v>
      </c>
      <c r="O107" s="4" t="s">
        <v>26</v>
      </c>
      <c r="P107" s="11">
        <v>1</v>
      </c>
      <c r="Q107" s="9">
        <f>4611.95</f>
        <v>4611.95</v>
      </c>
    </row>
    <row r="108" spans="1:17" ht="45" customHeight="1" x14ac:dyDescent="0.25">
      <c r="A108" s="4" t="s">
        <v>17</v>
      </c>
      <c r="B108" s="5" t="s">
        <v>216</v>
      </c>
      <c r="C108" s="4"/>
      <c r="D108" s="4"/>
      <c r="E108" s="4" t="s">
        <v>327</v>
      </c>
      <c r="F108" s="6"/>
      <c r="G108" s="4"/>
      <c r="H108" s="7"/>
      <c r="I108" s="7"/>
      <c r="J108" s="8"/>
      <c r="K108" s="9"/>
      <c r="L108" s="9">
        <f>6784.6</f>
        <v>6784.6</v>
      </c>
      <c r="M108" s="4"/>
      <c r="N108" s="10"/>
      <c r="O108" s="4"/>
      <c r="P108" s="11"/>
      <c r="Q108" s="9"/>
    </row>
    <row r="109" spans="1:17" ht="45" customHeight="1" x14ac:dyDescent="0.25">
      <c r="A109" s="4" t="s">
        <v>20</v>
      </c>
      <c r="B109" s="5" t="s">
        <v>328</v>
      </c>
      <c r="C109" s="4" t="s">
        <v>22</v>
      </c>
      <c r="D109" s="4" t="s">
        <v>329</v>
      </c>
      <c r="E109" s="4" t="s">
        <v>330</v>
      </c>
      <c r="F109" s="6">
        <f>400</f>
        <v>400</v>
      </c>
      <c r="G109" s="4" t="s">
        <v>30</v>
      </c>
      <c r="H109" s="7">
        <v>4.33</v>
      </c>
      <c r="I109" s="7">
        <v>4.33</v>
      </c>
      <c r="J109" s="8">
        <v>0.25</v>
      </c>
      <c r="K109" s="9">
        <f>5.41</f>
        <v>5.41</v>
      </c>
      <c r="L109" s="9">
        <f>2164</f>
        <v>2164</v>
      </c>
      <c r="M109" s="4"/>
      <c r="N109" s="10">
        <v>1</v>
      </c>
      <c r="O109" s="4" t="s">
        <v>26</v>
      </c>
      <c r="P109" s="11">
        <v>400</v>
      </c>
      <c r="Q109" s="9">
        <f>2164</f>
        <v>2164</v>
      </c>
    </row>
    <row r="110" spans="1:17" ht="45" customHeight="1" x14ac:dyDescent="0.25">
      <c r="A110" s="4" t="s">
        <v>20</v>
      </c>
      <c r="B110" s="5" t="s">
        <v>331</v>
      </c>
      <c r="C110" s="4" t="s">
        <v>22</v>
      </c>
      <c r="D110" s="4" t="s">
        <v>332</v>
      </c>
      <c r="E110" s="4" t="s">
        <v>333</v>
      </c>
      <c r="F110" s="6">
        <f>10</f>
        <v>10</v>
      </c>
      <c r="G110" s="4" t="s">
        <v>43</v>
      </c>
      <c r="H110" s="7">
        <v>15.51</v>
      </c>
      <c r="I110" s="7">
        <v>15.51</v>
      </c>
      <c r="J110" s="8">
        <v>0.25</v>
      </c>
      <c r="K110" s="9">
        <f>19.39</f>
        <v>19.39</v>
      </c>
      <c r="L110" s="9">
        <f>193.9</f>
        <v>193.9</v>
      </c>
      <c r="M110" s="4"/>
      <c r="N110" s="10">
        <v>1</v>
      </c>
      <c r="O110" s="4" t="s">
        <v>26</v>
      </c>
      <c r="P110" s="11">
        <v>10</v>
      </c>
      <c r="Q110" s="9">
        <f>193.9</f>
        <v>193.9</v>
      </c>
    </row>
    <row r="111" spans="1:17" ht="45" customHeight="1" x14ac:dyDescent="0.25">
      <c r="A111" s="4" t="s">
        <v>20</v>
      </c>
      <c r="B111" s="5" t="s">
        <v>334</v>
      </c>
      <c r="C111" s="4" t="s">
        <v>37</v>
      </c>
      <c r="D111" s="4" t="s">
        <v>335</v>
      </c>
      <c r="E111" s="4" t="s">
        <v>336</v>
      </c>
      <c r="F111" s="6">
        <f>7</f>
        <v>7</v>
      </c>
      <c r="G111" s="4" t="s">
        <v>30</v>
      </c>
      <c r="H111" s="7">
        <v>36.72</v>
      </c>
      <c r="I111" s="7">
        <v>36.72</v>
      </c>
      <c r="J111" s="8">
        <v>0.25</v>
      </c>
      <c r="K111" s="9">
        <f>45.9</f>
        <v>45.9</v>
      </c>
      <c r="L111" s="9">
        <f>321.3</f>
        <v>321.3</v>
      </c>
      <c r="M111" s="4"/>
      <c r="N111" s="10">
        <v>1</v>
      </c>
      <c r="O111" s="4" t="s">
        <v>26</v>
      </c>
      <c r="P111" s="11">
        <v>7</v>
      </c>
      <c r="Q111" s="9">
        <f>321.3</f>
        <v>321.3</v>
      </c>
    </row>
    <row r="112" spans="1:17" ht="45" customHeight="1" x14ac:dyDescent="0.25">
      <c r="A112" s="4" t="s">
        <v>20</v>
      </c>
      <c r="B112" s="5" t="s">
        <v>337</v>
      </c>
      <c r="C112" s="4" t="s">
        <v>22</v>
      </c>
      <c r="D112" s="4" t="s">
        <v>338</v>
      </c>
      <c r="E112" s="4" t="s">
        <v>339</v>
      </c>
      <c r="F112" s="6">
        <f>1</f>
        <v>1</v>
      </c>
      <c r="G112" s="4" t="s">
        <v>43</v>
      </c>
      <c r="H112" s="7">
        <v>56.38</v>
      </c>
      <c r="I112" s="7">
        <v>56.38</v>
      </c>
      <c r="J112" s="8">
        <v>0.25</v>
      </c>
      <c r="K112" s="9">
        <f>70.48</f>
        <v>70.48</v>
      </c>
      <c r="L112" s="9">
        <f>70.48</f>
        <v>70.48</v>
      </c>
      <c r="M112" s="4"/>
      <c r="N112" s="10">
        <v>1</v>
      </c>
      <c r="O112" s="4" t="s">
        <v>26</v>
      </c>
      <c r="P112" s="11">
        <v>1</v>
      </c>
      <c r="Q112" s="9">
        <f>70.48</f>
        <v>70.48</v>
      </c>
    </row>
    <row r="113" spans="1:17" ht="45" customHeight="1" x14ac:dyDescent="0.25">
      <c r="A113" s="4" t="s">
        <v>20</v>
      </c>
      <c r="B113" s="5" t="s">
        <v>340</v>
      </c>
      <c r="C113" s="4" t="s">
        <v>22</v>
      </c>
      <c r="D113" s="4" t="s">
        <v>341</v>
      </c>
      <c r="E113" s="4" t="s">
        <v>342</v>
      </c>
      <c r="F113" s="6">
        <f>2</f>
        <v>2</v>
      </c>
      <c r="G113" s="4" t="s">
        <v>43</v>
      </c>
      <c r="H113" s="7">
        <v>59.98</v>
      </c>
      <c r="I113" s="7">
        <v>59.98</v>
      </c>
      <c r="J113" s="8">
        <v>0.25</v>
      </c>
      <c r="K113" s="9">
        <f>74.98</f>
        <v>74.98</v>
      </c>
      <c r="L113" s="9">
        <f>149.96</f>
        <v>149.96</v>
      </c>
      <c r="M113" s="4"/>
      <c r="N113" s="10">
        <v>1</v>
      </c>
      <c r="O113" s="4" t="s">
        <v>26</v>
      </c>
      <c r="P113" s="11">
        <v>2</v>
      </c>
      <c r="Q113" s="9">
        <f>149.96</f>
        <v>149.96</v>
      </c>
    </row>
    <row r="114" spans="1:17" ht="45" customHeight="1" x14ac:dyDescent="0.25">
      <c r="A114" s="4" t="s">
        <v>20</v>
      </c>
      <c r="B114" s="5" t="s">
        <v>343</v>
      </c>
      <c r="C114" s="4" t="s">
        <v>22</v>
      </c>
      <c r="D114" s="4" t="s">
        <v>344</v>
      </c>
      <c r="E114" s="4" t="s">
        <v>345</v>
      </c>
      <c r="F114" s="6">
        <f>1</f>
        <v>1</v>
      </c>
      <c r="G114" s="4" t="s">
        <v>43</v>
      </c>
      <c r="H114" s="7">
        <v>11.63</v>
      </c>
      <c r="I114" s="7">
        <v>11.63</v>
      </c>
      <c r="J114" s="8">
        <v>0.25</v>
      </c>
      <c r="K114" s="9">
        <f>14.54</f>
        <v>14.54</v>
      </c>
      <c r="L114" s="9">
        <f>14.54</f>
        <v>14.54</v>
      </c>
      <c r="M114" s="4"/>
      <c r="N114" s="10">
        <v>1</v>
      </c>
      <c r="O114" s="4" t="s">
        <v>26</v>
      </c>
      <c r="P114" s="11">
        <v>1</v>
      </c>
      <c r="Q114" s="9">
        <f>14.54</f>
        <v>14.54</v>
      </c>
    </row>
    <row r="115" spans="1:17" ht="45" customHeight="1" x14ac:dyDescent="0.25">
      <c r="A115" s="4" t="s">
        <v>20</v>
      </c>
      <c r="B115" s="5" t="s">
        <v>346</v>
      </c>
      <c r="C115" s="4" t="s">
        <v>22</v>
      </c>
      <c r="D115" s="4" t="s">
        <v>347</v>
      </c>
      <c r="E115" s="4" t="s">
        <v>348</v>
      </c>
      <c r="F115" s="6">
        <f>115</f>
        <v>115</v>
      </c>
      <c r="G115" s="4" t="s">
        <v>30</v>
      </c>
      <c r="H115" s="7">
        <v>10.65</v>
      </c>
      <c r="I115" s="7">
        <v>10.65</v>
      </c>
      <c r="J115" s="8">
        <v>0.25</v>
      </c>
      <c r="K115" s="9">
        <f>13.31</f>
        <v>13.31</v>
      </c>
      <c r="L115" s="9">
        <f>1530.65</f>
        <v>1530.65</v>
      </c>
      <c r="M115" s="4"/>
      <c r="N115" s="10">
        <v>1</v>
      </c>
      <c r="O115" s="4" t="s">
        <v>26</v>
      </c>
      <c r="P115" s="11">
        <v>115</v>
      </c>
      <c r="Q115" s="9">
        <f>1530.65</f>
        <v>1530.65</v>
      </c>
    </row>
    <row r="116" spans="1:17" ht="45" customHeight="1" x14ac:dyDescent="0.25">
      <c r="A116" s="4" t="s">
        <v>20</v>
      </c>
      <c r="B116" s="5" t="s">
        <v>349</v>
      </c>
      <c r="C116" s="4" t="s">
        <v>37</v>
      </c>
      <c r="D116" s="4" t="s">
        <v>350</v>
      </c>
      <c r="E116" s="4" t="s">
        <v>351</v>
      </c>
      <c r="F116" s="6">
        <f>5</f>
        <v>5</v>
      </c>
      <c r="G116" s="4" t="s">
        <v>30</v>
      </c>
      <c r="H116" s="7">
        <v>33.58</v>
      </c>
      <c r="I116" s="7">
        <v>33.58</v>
      </c>
      <c r="J116" s="8">
        <v>0.25</v>
      </c>
      <c r="K116" s="9">
        <f>41.98</f>
        <v>41.98</v>
      </c>
      <c r="L116" s="9">
        <f>209.9</f>
        <v>209.9</v>
      </c>
      <c r="M116" s="4"/>
      <c r="N116" s="10">
        <v>1</v>
      </c>
      <c r="O116" s="4" t="s">
        <v>26</v>
      </c>
      <c r="P116" s="11">
        <v>5</v>
      </c>
      <c r="Q116" s="9">
        <f>209.9</f>
        <v>209.9</v>
      </c>
    </row>
    <row r="117" spans="1:17" ht="45" customHeight="1" x14ac:dyDescent="0.25">
      <c r="A117" s="4" t="s">
        <v>20</v>
      </c>
      <c r="B117" s="5" t="s">
        <v>352</v>
      </c>
      <c r="C117" s="4" t="s">
        <v>37</v>
      </c>
      <c r="D117" s="4" t="s">
        <v>353</v>
      </c>
      <c r="E117" s="4" t="s">
        <v>354</v>
      </c>
      <c r="F117" s="6">
        <f>45</f>
        <v>45</v>
      </c>
      <c r="G117" s="4" t="s">
        <v>30</v>
      </c>
      <c r="H117" s="7">
        <v>5.66</v>
      </c>
      <c r="I117" s="7">
        <v>5.66</v>
      </c>
      <c r="J117" s="8">
        <v>0.25</v>
      </c>
      <c r="K117" s="9">
        <f>7.08</f>
        <v>7.08</v>
      </c>
      <c r="L117" s="9">
        <f>318.6</f>
        <v>318.60000000000002</v>
      </c>
      <c r="M117" s="4"/>
      <c r="N117" s="10">
        <v>1</v>
      </c>
      <c r="O117" s="4" t="s">
        <v>26</v>
      </c>
      <c r="P117" s="11">
        <v>45</v>
      </c>
      <c r="Q117" s="9">
        <f>318.6</f>
        <v>318.60000000000002</v>
      </c>
    </row>
    <row r="118" spans="1:17" ht="45" customHeight="1" x14ac:dyDescent="0.25">
      <c r="A118" s="4" t="s">
        <v>20</v>
      </c>
      <c r="B118" s="5" t="s">
        <v>355</v>
      </c>
      <c r="C118" s="4" t="s">
        <v>22</v>
      </c>
      <c r="D118" s="4" t="s">
        <v>356</v>
      </c>
      <c r="E118" s="4" t="s">
        <v>357</v>
      </c>
      <c r="F118" s="6">
        <f>1</f>
        <v>1</v>
      </c>
      <c r="G118" s="4" t="s">
        <v>43</v>
      </c>
      <c r="H118" s="7">
        <v>73.41</v>
      </c>
      <c r="I118" s="7">
        <v>73.41</v>
      </c>
      <c r="J118" s="8">
        <v>0.25</v>
      </c>
      <c r="K118" s="9">
        <f>91.76</f>
        <v>91.76</v>
      </c>
      <c r="L118" s="9">
        <f>91.76</f>
        <v>91.76</v>
      </c>
      <c r="M118" s="4"/>
      <c r="N118" s="10">
        <v>1</v>
      </c>
      <c r="O118" s="4" t="s">
        <v>26</v>
      </c>
      <c r="P118" s="11">
        <v>1</v>
      </c>
      <c r="Q118" s="9">
        <f>91.76</f>
        <v>91.76</v>
      </c>
    </row>
    <row r="119" spans="1:17" ht="45" customHeight="1" x14ac:dyDescent="0.25">
      <c r="A119" s="4" t="s">
        <v>20</v>
      </c>
      <c r="B119" s="5" t="s">
        <v>358</v>
      </c>
      <c r="C119" s="4" t="s">
        <v>22</v>
      </c>
      <c r="D119" s="4" t="s">
        <v>359</v>
      </c>
      <c r="E119" s="4" t="s">
        <v>360</v>
      </c>
      <c r="F119" s="6">
        <f>1</f>
        <v>1</v>
      </c>
      <c r="G119" s="4" t="s">
        <v>43</v>
      </c>
      <c r="H119" s="7">
        <v>11.42</v>
      </c>
      <c r="I119" s="7">
        <v>11.42</v>
      </c>
      <c r="J119" s="8">
        <v>0.25</v>
      </c>
      <c r="K119" s="9">
        <f>14.28</f>
        <v>14.28</v>
      </c>
      <c r="L119" s="9">
        <f>14.28</f>
        <v>14.28</v>
      </c>
      <c r="M119" s="4"/>
      <c r="N119" s="10">
        <v>1</v>
      </c>
      <c r="O119" s="4" t="s">
        <v>26</v>
      </c>
      <c r="P119" s="11">
        <v>1</v>
      </c>
      <c r="Q119" s="9">
        <f>14.28</f>
        <v>14.28</v>
      </c>
    </row>
    <row r="120" spans="1:17" ht="45" customHeight="1" x14ac:dyDescent="0.25">
      <c r="A120" s="4" t="s">
        <v>20</v>
      </c>
      <c r="B120" s="5" t="s">
        <v>361</v>
      </c>
      <c r="C120" s="4" t="s">
        <v>22</v>
      </c>
      <c r="D120" s="4" t="s">
        <v>362</v>
      </c>
      <c r="E120" s="4" t="s">
        <v>363</v>
      </c>
      <c r="F120" s="6">
        <f>3</f>
        <v>3</v>
      </c>
      <c r="G120" s="4" t="s">
        <v>43</v>
      </c>
      <c r="H120" s="7">
        <v>27.17</v>
      </c>
      <c r="I120" s="7">
        <v>27.17</v>
      </c>
      <c r="J120" s="8">
        <v>0.25</v>
      </c>
      <c r="K120" s="9">
        <f>33.96</f>
        <v>33.96</v>
      </c>
      <c r="L120" s="9">
        <f>101.88</f>
        <v>101.88</v>
      </c>
      <c r="M120" s="4"/>
      <c r="N120" s="10">
        <v>1</v>
      </c>
      <c r="O120" s="4" t="s">
        <v>26</v>
      </c>
      <c r="P120" s="11">
        <v>3</v>
      </c>
      <c r="Q120" s="9">
        <f>101.88</f>
        <v>101.88</v>
      </c>
    </row>
    <row r="121" spans="1:17" ht="45" customHeight="1" x14ac:dyDescent="0.25">
      <c r="A121" s="4" t="s">
        <v>20</v>
      </c>
      <c r="B121" s="5" t="s">
        <v>364</v>
      </c>
      <c r="C121" s="4" t="s">
        <v>22</v>
      </c>
      <c r="D121" s="4" t="s">
        <v>365</v>
      </c>
      <c r="E121" s="4" t="s">
        <v>366</v>
      </c>
      <c r="F121" s="6">
        <f>2</f>
        <v>2</v>
      </c>
      <c r="G121" s="4" t="s">
        <v>43</v>
      </c>
      <c r="H121" s="7">
        <v>13.3</v>
      </c>
      <c r="I121" s="7">
        <v>13.3</v>
      </c>
      <c r="J121" s="8">
        <v>0.25</v>
      </c>
      <c r="K121" s="9">
        <f>16.63</f>
        <v>16.63</v>
      </c>
      <c r="L121" s="9">
        <f>33.26</f>
        <v>33.26</v>
      </c>
      <c r="M121" s="4"/>
      <c r="N121" s="10">
        <v>1</v>
      </c>
      <c r="O121" s="4" t="s">
        <v>26</v>
      </c>
      <c r="P121" s="11">
        <v>2</v>
      </c>
      <c r="Q121" s="9">
        <f>33.26</f>
        <v>33.26</v>
      </c>
    </row>
    <row r="122" spans="1:17" ht="45" customHeight="1" x14ac:dyDescent="0.25">
      <c r="A122" s="4" t="s">
        <v>20</v>
      </c>
      <c r="B122" s="5" t="s">
        <v>367</v>
      </c>
      <c r="C122" s="4" t="s">
        <v>37</v>
      </c>
      <c r="D122" s="4" t="s">
        <v>368</v>
      </c>
      <c r="E122" s="4" t="s">
        <v>369</v>
      </c>
      <c r="F122" s="6">
        <f>8</f>
        <v>8</v>
      </c>
      <c r="G122" s="4" t="s">
        <v>43</v>
      </c>
      <c r="H122" s="7">
        <v>130.19999999999999</v>
      </c>
      <c r="I122" s="7">
        <v>130.19999999999999</v>
      </c>
      <c r="J122" s="8">
        <v>0.25</v>
      </c>
      <c r="K122" s="9">
        <f>162.75</f>
        <v>162.75</v>
      </c>
      <c r="L122" s="9">
        <f>1302</f>
        <v>1302</v>
      </c>
      <c r="M122" s="4"/>
      <c r="N122" s="10">
        <v>1</v>
      </c>
      <c r="O122" s="4" t="s">
        <v>26</v>
      </c>
      <c r="P122" s="11">
        <v>8</v>
      </c>
      <c r="Q122" s="9">
        <f>1302</f>
        <v>1302</v>
      </c>
    </row>
    <row r="123" spans="1:17" ht="45" customHeight="1" x14ac:dyDescent="0.25">
      <c r="A123" s="4" t="s">
        <v>20</v>
      </c>
      <c r="B123" s="5" t="s">
        <v>370</v>
      </c>
      <c r="C123" s="4" t="s">
        <v>22</v>
      </c>
      <c r="D123" s="4" t="s">
        <v>371</v>
      </c>
      <c r="E123" s="4" t="s">
        <v>372</v>
      </c>
      <c r="F123" s="6">
        <f>1</f>
        <v>1</v>
      </c>
      <c r="G123" s="4" t="s">
        <v>43</v>
      </c>
      <c r="H123" s="7">
        <v>74.89</v>
      </c>
      <c r="I123" s="7">
        <v>74.89</v>
      </c>
      <c r="J123" s="8">
        <v>0.25</v>
      </c>
      <c r="K123" s="9">
        <f>93.61</f>
        <v>93.61</v>
      </c>
      <c r="L123" s="9">
        <f>93.61</f>
        <v>93.61</v>
      </c>
      <c r="M123" s="4"/>
      <c r="N123" s="10">
        <v>1</v>
      </c>
      <c r="O123" s="4" t="s">
        <v>26</v>
      </c>
      <c r="P123" s="11">
        <v>1</v>
      </c>
      <c r="Q123" s="9">
        <f>93.61</f>
        <v>93.61</v>
      </c>
    </row>
    <row r="124" spans="1:17" ht="45" customHeight="1" x14ac:dyDescent="0.25">
      <c r="A124" s="4" t="s">
        <v>20</v>
      </c>
      <c r="B124" s="5" t="s">
        <v>373</v>
      </c>
      <c r="C124" s="4" t="s">
        <v>22</v>
      </c>
      <c r="D124" s="4" t="s">
        <v>374</v>
      </c>
      <c r="E124" s="4" t="s">
        <v>375</v>
      </c>
      <c r="F124" s="6">
        <f>10</f>
        <v>10</v>
      </c>
      <c r="G124" s="4" t="s">
        <v>30</v>
      </c>
      <c r="H124" s="7">
        <v>7.54</v>
      </c>
      <c r="I124" s="7">
        <v>7.54</v>
      </c>
      <c r="J124" s="8">
        <v>0.25</v>
      </c>
      <c r="K124" s="9">
        <f>9.43</f>
        <v>9.43</v>
      </c>
      <c r="L124" s="9">
        <f>94.3</f>
        <v>94.3</v>
      </c>
      <c r="M124" s="4"/>
      <c r="N124" s="10">
        <v>1</v>
      </c>
      <c r="O124" s="4" t="s">
        <v>26</v>
      </c>
      <c r="P124" s="11">
        <v>10</v>
      </c>
      <c r="Q124" s="9">
        <f>94.3</f>
        <v>94.3</v>
      </c>
    </row>
    <row r="125" spans="1:17" ht="45" customHeight="1" x14ac:dyDescent="0.25">
      <c r="A125" s="4" t="s">
        <v>20</v>
      </c>
      <c r="B125" s="5" t="s">
        <v>376</v>
      </c>
      <c r="C125" s="4" t="s">
        <v>22</v>
      </c>
      <c r="D125" s="4" t="s">
        <v>377</v>
      </c>
      <c r="E125" s="4" t="s">
        <v>378</v>
      </c>
      <c r="F125" s="6">
        <f>2</f>
        <v>2</v>
      </c>
      <c r="G125" s="4" t="s">
        <v>43</v>
      </c>
      <c r="H125" s="7">
        <v>32.07</v>
      </c>
      <c r="I125" s="7">
        <v>32.07</v>
      </c>
      <c r="J125" s="8">
        <v>0.25</v>
      </c>
      <c r="K125" s="9">
        <f>40.09</f>
        <v>40.090000000000003</v>
      </c>
      <c r="L125" s="9">
        <f>80.18</f>
        <v>80.180000000000007</v>
      </c>
      <c r="M125" s="4"/>
      <c r="N125" s="10">
        <v>1</v>
      </c>
      <c r="O125" s="4" t="s">
        <v>26</v>
      </c>
      <c r="P125" s="11">
        <v>2</v>
      </c>
      <c r="Q125" s="9">
        <f>80.18</f>
        <v>80.180000000000007</v>
      </c>
    </row>
    <row r="126" spans="1:17" ht="45" customHeight="1" x14ac:dyDescent="0.25">
      <c r="A126" s="4" t="s">
        <v>17</v>
      </c>
      <c r="B126" s="5" t="s">
        <v>222</v>
      </c>
      <c r="C126" s="4"/>
      <c r="D126" s="4"/>
      <c r="E126" s="4" t="s">
        <v>379</v>
      </c>
      <c r="F126" s="6"/>
      <c r="G126" s="4"/>
      <c r="H126" s="7"/>
      <c r="I126" s="7"/>
      <c r="J126" s="8"/>
      <c r="K126" s="9"/>
      <c r="L126" s="9">
        <f>968.79</f>
        <v>968.79</v>
      </c>
      <c r="M126" s="4"/>
      <c r="N126" s="10"/>
      <c r="O126" s="4"/>
      <c r="P126" s="11"/>
      <c r="Q126" s="9"/>
    </row>
    <row r="127" spans="1:17" ht="45" customHeight="1" x14ac:dyDescent="0.25">
      <c r="A127" s="4" t="s">
        <v>20</v>
      </c>
      <c r="B127" s="5" t="s">
        <v>380</v>
      </c>
      <c r="C127" s="4" t="s">
        <v>37</v>
      </c>
      <c r="D127" s="4" t="s">
        <v>381</v>
      </c>
      <c r="E127" s="4" t="s">
        <v>382</v>
      </c>
      <c r="F127" s="6">
        <f>1</f>
        <v>1</v>
      </c>
      <c r="G127" s="4" t="s">
        <v>43</v>
      </c>
      <c r="H127" s="7">
        <v>775.03</v>
      </c>
      <c r="I127" s="7">
        <v>775.03</v>
      </c>
      <c r="J127" s="8">
        <v>0.25</v>
      </c>
      <c r="K127" s="9">
        <f>968.79</f>
        <v>968.79</v>
      </c>
      <c r="L127" s="9">
        <f>968.79</f>
        <v>968.79</v>
      </c>
      <c r="M127" s="4"/>
      <c r="N127" s="10">
        <v>1</v>
      </c>
      <c r="O127" s="4" t="s">
        <v>26</v>
      </c>
      <c r="P127" s="11">
        <v>1</v>
      </c>
      <c r="Q127" s="9">
        <f>968.79</f>
        <v>968.79</v>
      </c>
    </row>
    <row r="128" spans="1:17" ht="45" customHeight="1" x14ac:dyDescent="0.25">
      <c r="A128" s="4" t="s">
        <v>17</v>
      </c>
      <c r="B128" s="5" t="s">
        <v>335</v>
      </c>
      <c r="C128" s="4"/>
      <c r="D128" s="4"/>
      <c r="E128" s="4" t="s">
        <v>383</v>
      </c>
      <c r="F128" s="6"/>
      <c r="G128" s="4"/>
      <c r="H128" s="7"/>
      <c r="I128" s="7"/>
      <c r="J128" s="8"/>
      <c r="K128" s="9"/>
      <c r="L128" s="9">
        <f>736.12</f>
        <v>736.12</v>
      </c>
      <c r="M128" s="4"/>
      <c r="N128" s="10"/>
      <c r="O128" s="4"/>
      <c r="P128" s="11"/>
      <c r="Q128" s="9"/>
    </row>
    <row r="129" spans="1:17" ht="45" customHeight="1" x14ac:dyDescent="0.25">
      <c r="A129" s="4" t="s">
        <v>20</v>
      </c>
      <c r="B129" s="5" t="s">
        <v>384</v>
      </c>
      <c r="C129" s="4" t="s">
        <v>22</v>
      </c>
      <c r="D129" s="4" t="s">
        <v>385</v>
      </c>
      <c r="E129" s="4" t="s">
        <v>386</v>
      </c>
      <c r="F129" s="6">
        <f>308</f>
        <v>308</v>
      </c>
      <c r="G129" s="4" t="s">
        <v>25</v>
      </c>
      <c r="H129" s="7">
        <v>1.91</v>
      </c>
      <c r="I129" s="7">
        <v>1.91</v>
      </c>
      <c r="J129" s="8">
        <v>0.25</v>
      </c>
      <c r="K129" s="9">
        <f>2.39</f>
        <v>2.39</v>
      </c>
      <c r="L129" s="9">
        <f>736.12</f>
        <v>736.12</v>
      </c>
      <c r="M129" s="4"/>
      <c r="N129" s="10">
        <v>1</v>
      </c>
      <c r="O129" s="4" t="s">
        <v>26</v>
      </c>
      <c r="P129" s="11">
        <v>308</v>
      </c>
      <c r="Q129" s="9">
        <f>736.12</f>
        <v>736.12</v>
      </c>
    </row>
    <row r="130" spans="1:17" ht="45" customHeight="1" x14ac:dyDescent="0.25">
      <c r="A130" s="4" t="s">
        <v>17</v>
      </c>
      <c r="B130" s="5" t="s">
        <v>350</v>
      </c>
      <c r="C130" s="4"/>
      <c r="D130" s="4"/>
      <c r="E130" s="4" t="s">
        <v>387</v>
      </c>
      <c r="F130" s="6"/>
      <c r="G130" s="4"/>
      <c r="H130" s="7"/>
      <c r="I130" s="7"/>
      <c r="J130" s="8"/>
      <c r="K130" s="9"/>
      <c r="L130" s="9">
        <f>10446.72</f>
        <v>10446.719999999999</v>
      </c>
      <c r="M130" s="4"/>
      <c r="N130" s="10"/>
      <c r="O130" s="4"/>
      <c r="P130" s="11"/>
      <c r="Q130" s="9"/>
    </row>
    <row r="131" spans="1:17" ht="45" customHeight="1" x14ac:dyDescent="0.25">
      <c r="A131" s="4" t="s">
        <v>20</v>
      </c>
      <c r="B131" s="5" t="s">
        <v>388</v>
      </c>
      <c r="C131" s="4" t="s">
        <v>37</v>
      </c>
      <c r="D131" s="4" t="s">
        <v>389</v>
      </c>
      <c r="E131" s="4" t="s">
        <v>390</v>
      </c>
      <c r="F131" s="6">
        <f>1</f>
        <v>1</v>
      </c>
      <c r="G131" s="4" t="s">
        <v>43</v>
      </c>
      <c r="H131" s="7">
        <v>3300.97</v>
      </c>
      <c r="I131" s="7">
        <v>3300.97</v>
      </c>
      <c r="J131" s="8">
        <v>0.25</v>
      </c>
      <c r="K131" s="9">
        <f>4126.21</f>
        <v>4126.21</v>
      </c>
      <c r="L131" s="9">
        <f>4126.21</f>
        <v>4126.21</v>
      </c>
      <c r="M131" s="4"/>
      <c r="N131" s="10">
        <v>1</v>
      </c>
      <c r="O131" s="4" t="s">
        <v>26</v>
      </c>
      <c r="P131" s="11">
        <v>1</v>
      </c>
      <c r="Q131" s="9">
        <f>4126.21</f>
        <v>4126.21</v>
      </c>
    </row>
    <row r="132" spans="1:17" ht="45" customHeight="1" x14ac:dyDescent="0.25">
      <c r="A132" s="4" t="s">
        <v>20</v>
      </c>
      <c r="B132" s="5" t="s">
        <v>391</v>
      </c>
      <c r="C132" s="4" t="s">
        <v>37</v>
      </c>
      <c r="D132" s="4" t="s">
        <v>392</v>
      </c>
      <c r="E132" s="4" t="s">
        <v>393</v>
      </c>
      <c r="F132" s="6">
        <f>1</f>
        <v>1</v>
      </c>
      <c r="G132" s="4" t="s">
        <v>43</v>
      </c>
      <c r="H132" s="7">
        <v>2407.9899999999998</v>
      </c>
      <c r="I132" s="7">
        <v>2407.9899999999998</v>
      </c>
      <c r="J132" s="8">
        <v>0.25</v>
      </c>
      <c r="K132" s="9">
        <f>3009.99</f>
        <v>3009.99</v>
      </c>
      <c r="L132" s="9">
        <f>3009.99</f>
        <v>3009.99</v>
      </c>
      <c r="M132" s="4"/>
      <c r="N132" s="10">
        <v>1</v>
      </c>
      <c r="O132" s="4" t="s">
        <v>26</v>
      </c>
      <c r="P132" s="11">
        <v>1</v>
      </c>
      <c r="Q132" s="9">
        <f>3009.99</f>
        <v>3009.99</v>
      </c>
    </row>
    <row r="133" spans="1:17" ht="45" customHeight="1" x14ac:dyDescent="0.25">
      <c r="A133" s="4" t="s">
        <v>20</v>
      </c>
      <c r="B133" s="5" t="s">
        <v>394</v>
      </c>
      <c r="C133" s="4" t="s">
        <v>112</v>
      </c>
      <c r="D133" s="4" t="s">
        <v>395</v>
      </c>
      <c r="E133" s="4" t="s">
        <v>396</v>
      </c>
      <c r="F133" s="6">
        <f>4</f>
        <v>4</v>
      </c>
      <c r="G133" s="4" t="s">
        <v>43</v>
      </c>
      <c r="H133" s="7">
        <v>662.1</v>
      </c>
      <c r="I133" s="7">
        <v>662.1</v>
      </c>
      <c r="J133" s="8">
        <v>0.25</v>
      </c>
      <c r="K133" s="9">
        <f>827.63</f>
        <v>827.63</v>
      </c>
      <c r="L133" s="9">
        <f>3310.52</f>
        <v>3310.52</v>
      </c>
      <c r="M133" s="4"/>
      <c r="N133" s="10">
        <v>1</v>
      </c>
      <c r="O133" s="4" t="s">
        <v>26</v>
      </c>
      <c r="P133" s="11">
        <v>4</v>
      </c>
      <c r="Q133" s="9">
        <f>3310.52</f>
        <v>3310.52</v>
      </c>
    </row>
    <row r="134" spans="1:17" ht="45" customHeight="1" x14ac:dyDescent="0.25">
      <c r="A134" s="4" t="s">
        <v>17</v>
      </c>
      <c r="B134" s="5" t="s">
        <v>353</v>
      </c>
      <c r="C134" s="4"/>
      <c r="D134" s="4"/>
      <c r="E134" s="4" t="s">
        <v>397</v>
      </c>
      <c r="F134" s="6"/>
      <c r="G134" s="4"/>
      <c r="H134" s="7"/>
      <c r="I134" s="7"/>
      <c r="J134" s="8"/>
      <c r="K134" s="9"/>
      <c r="L134" s="9">
        <f>14050.24</f>
        <v>14050.24</v>
      </c>
      <c r="M134" s="4"/>
      <c r="N134" s="10"/>
      <c r="O134" s="4"/>
      <c r="P134" s="11"/>
      <c r="Q134" s="9"/>
    </row>
    <row r="135" spans="1:17" ht="45" customHeight="1" x14ac:dyDescent="0.25">
      <c r="A135" s="4" t="s">
        <v>20</v>
      </c>
      <c r="B135" s="5" t="s">
        <v>398</v>
      </c>
      <c r="C135" s="4" t="s">
        <v>22</v>
      </c>
      <c r="D135" s="4" t="s">
        <v>399</v>
      </c>
      <c r="E135" s="4" t="s">
        <v>400</v>
      </c>
      <c r="F135" s="6">
        <f>16</f>
        <v>16</v>
      </c>
      <c r="G135" s="4" t="s">
        <v>401</v>
      </c>
      <c r="H135" s="7">
        <v>125.79</v>
      </c>
      <c r="I135" s="7">
        <v>125.79</v>
      </c>
      <c r="J135" s="8">
        <v>0.25</v>
      </c>
      <c r="K135" s="9">
        <f>157.24</f>
        <v>157.24</v>
      </c>
      <c r="L135" s="9">
        <f>2515.84</f>
        <v>2515.84</v>
      </c>
      <c r="M135" s="4"/>
      <c r="N135" s="10">
        <v>1</v>
      </c>
      <c r="O135" s="4" t="s">
        <v>26</v>
      </c>
      <c r="P135" s="11">
        <v>16</v>
      </c>
      <c r="Q135" s="9">
        <f>2515.84</f>
        <v>2515.84</v>
      </c>
    </row>
    <row r="136" spans="1:17" ht="45" customHeight="1" x14ac:dyDescent="0.25">
      <c r="A136" s="4" t="s">
        <v>20</v>
      </c>
      <c r="B136" s="5" t="s">
        <v>402</v>
      </c>
      <c r="C136" s="4" t="s">
        <v>22</v>
      </c>
      <c r="D136" s="4" t="s">
        <v>403</v>
      </c>
      <c r="E136" s="4" t="s">
        <v>404</v>
      </c>
      <c r="F136" s="6">
        <f>288</f>
        <v>288</v>
      </c>
      <c r="G136" s="4" t="s">
        <v>401</v>
      </c>
      <c r="H136" s="7">
        <v>32.04</v>
      </c>
      <c r="I136" s="7">
        <v>32.04</v>
      </c>
      <c r="J136" s="8">
        <v>0.25</v>
      </c>
      <c r="K136" s="9">
        <f>40.05</f>
        <v>40.049999999999997</v>
      </c>
      <c r="L136" s="9">
        <f>11534.4</f>
        <v>11534.4</v>
      </c>
      <c r="M136" s="4"/>
      <c r="N136" s="10">
        <v>1</v>
      </c>
      <c r="O136" s="4" t="s">
        <v>26</v>
      </c>
      <c r="P136" s="11">
        <v>288</v>
      </c>
      <c r="Q136" s="9">
        <f>11534.4</f>
        <v>11534.4</v>
      </c>
    </row>
    <row r="137" spans="1:17" x14ac:dyDescent="0.25">
      <c r="P137" s="13" t="s">
        <v>405</v>
      </c>
      <c r="Q137" s="14">
        <f>306156.48</f>
        <v>306156.48</v>
      </c>
    </row>
    <row r="138" spans="1:17" x14ac:dyDescent="0.25">
      <c r="P138" s="13" t="s">
        <v>406</v>
      </c>
      <c r="Q138" s="14">
        <f>-4125</f>
        <v>-4125</v>
      </c>
    </row>
  </sheetData>
  <conditionalFormatting sqref="A2:Q2">
    <cfRule type="expression" dxfId="17" priority="12">
      <formula>$A2="Macrosserviço"</formula>
    </cfRule>
  </conditionalFormatting>
  <conditionalFormatting sqref="E2:E136">
    <cfRule type="expression" dxfId="16" priority="14">
      <formula>OR(E2="",IF($A2="Macrosserviço",LEN($E2)&gt;100,LEN($E2)&gt;500))</formula>
    </cfRule>
  </conditionalFormatting>
  <conditionalFormatting sqref="M2:M136">
    <cfRule type="expression" dxfId="15" priority="13">
      <formula>IF($A2="Serviço",LEN(M2)&gt;500,M2&lt;&gt;"")</formula>
    </cfRule>
  </conditionalFormatting>
  <conditionalFormatting sqref="A2:A136">
    <cfRule type="expression" dxfId="14" priority="11">
      <formula>AND(A2&lt;&gt;"Macrosserviço",A2&lt;&gt;"Serviço")</formula>
    </cfRule>
  </conditionalFormatting>
  <conditionalFormatting sqref="C2:C136">
    <cfRule type="expression" dxfId="13" priority="10">
      <formula>IF($A2="Serviço",AND(C2&lt;&gt;"Composição",C2&lt;&gt;"Cotação",C2&lt;&gt;"SINAPI",C2&lt;&gt;"Outros"),C2&lt;&gt;"")</formula>
    </cfRule>
  </conditionalFormatting>
  <conditionalFormatting sqref="D2:D136">
    <cfRule type="expression" dxfId="12" priority="9">
      <formula>IF($A2="Serviço",OR(D2="",LEN($D2)&gt;13),D2&lt;&gt;"")</formula>
    </cfRule>
  </conditionalFormatting>
  <conditionalFormatting sqref="H2:H136">
    <cfRule type="expression" dxfId="11" priority="8">
      <formula>IF(A2="Serviço",OR(NOT(ISNUMBER(H2)),H2&lt;&gt;ROUND(H2,2),AND(C2&lt;&gt;"SINAPI",H2=0),H2&lt;0,H2&gt;9999999999.99),H2&lt;&gt;"")</formula>
    </cfRule>
  </conditionalFormatting>
  <conditionalFormatting sqref="I2:I136">
    <cfRule type="expression" dxfId="10" priority="7">
      <formula>IF($A2="Serviço",OR(NOT(ISNUMBER(I2)),I2&lt;&gt;ROUND(I2,2),I2&lt;=0,I2&gt;9999999999.99),I2&lt;&gt;"")</formula>
    </cfRule>
  </conditionalFormatting>
  <conditionalFormatting sqref="J2:J136">
    <cfRule type="expression" dxfId="9" priority="6">
      <formula>IF($A2="Serviço",OR(NOT(ISNUMBER(VALUE(J2))),VALUE(J2)&lt;&gt;ROUND(VALUE(J2),4),VALUE(J2)&lt;=0,VALUE(J2)&gt;100%),J2&lt;&gt;"")</formula>
    </cfRule>
  </conditionalFormatting>
  <conditionalFormatting sqref="B2:B136">
    <cfRule type="cellIs" dxfId="8" priority="5" operator="equal">
      <formula>""</formula>
    </cfRule>
  </conditionalFormatting>
  <conditionalFormatting sqref="N2:N136">
    <cfRule type="expression" dxfId="7" priority="4">
      <formula>IF($A2="Macrosserviço",N2&lt;&gt;"",OR(NOT(ISNUMBER(N2)),N2&lt;&gt;ROUND(N2,0),N2&lt;1,N2&gt;999))</formula>
    </cfRule>
  </conditionalFormatting>
  <conditionalFormatting sqref="O2:O136">
    <cfRule type="expression" dxfId="6" priority="3">
      <formula>IF($A2="Macrosserviço",O2&lt;&gt;"",OR(O2="",LEN(O2)&gt;100))</formula>
    </cfRule>
  </conditionalFormatting>
  <conditionalFormatting sqref="P2:P136">
    <cfRule type="expression" dxfId="5" priority="2">
      <formula>IF($A2="Macrosserviço",P2&lt;&gt;"",OR(NOT(ISNUMBER(P2)),P2&lt;&gt;ROUND(P2,2),P2&lt;=0,P2&gt;99999999.99))</formula>
    </cfRule>
  </conditionalFormatting>
  <conditionalFormatting sqref="A3:Q136">
    <cfRule type="expression" dxfId="4" priority="1">
      <formula>$A3="Macrosserviço"</formula>
    </cfRule>
  </conditionalFormatting>
  <pageMargins left="0.78740157480314998" right="0.78740157480314998" top="0.78740157480314998" bottom="0.78740157480314998" header="5.7086614173228396" footer="0.59055118110236204"/>
  <pageSetup paperSize="9" orientation="portrait" r:id="rId1"/>
  <headerFooter>
    <oddHeader>&amp;L_</oddHeader>
    <oddFooter>&amp;LPMv3.10&amp;R&amp;P /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B2F3E3-0EA3-4F30-BAFB-15D6366E3756}">
  <sheetPr codeName="Planilha4"/>
  <dimension ref="A1:D28"/>
  <sheetViews>
    <sheetView workbookViewId="0"/>
  </sheetViews>
  <sheetFormatPr defaultColWidth="9.140625" defaultRowHeight="15" x14ac:dyDescent="0.25"/>
  <cols>
    <col min="1" max="1" width="15" style="3" customWidth="1"/>
    <col min="2" max="2" width="70" style="3" customWidth="1"/>
    <col min="3" max="3" width="10" style="3" customWidth="1"/>
    <col min="4" max="4" width="20" style="3" customWidth="1"/>
    <col min="5" max="16384" width="9.140625" style="3"/>
  </cols>
  <sheetData>
    <row r="1" spans="1:4" x14ac:dyDescent="0.25">
      <c r="A1" s="1" t="s">
        <v>407</v>
      </c>
      <c r="B1" s="1" t="s">
        <v>17</v>
      </c>
      <c r="C1" s="1" t="s">
        <v>408</v>
      </c>
      <c r="D1" s="1" t="s">
        <v>409</v>
      </c>
    </row>
    <row r="2" spans="1:4" ht="45" customHeight="1" x14ac:dyDescent="0.25">
      <c r="A2" s="15">
        <v>1</v>
      </c>
      <c r="B2" s="15" t="s">
        <v>19</v>
      </c>
      <c r="C2" s="15">
        <v>1</v>
      </c>
      <c r="D2" s="16">
        <v>100</v>
      </c>
    </row>
    <row r="3" spans="1:4" ht="45" customHeight="1" x14ac:dyDescent="0.25">
      <c r="A3" s="15">
        <v>2</v>
      </c>
      <c r="B3" s="15" t="s">
        <v>35</v>
      </c>
      <c r="C3" s="15">
        <v>1</v>
      </c>
      <c r="D3" s="16">
        <v>100</v>
      </c>
    </row>
    <row r="4" spans="1:4" ht="45" customHeight="1" x14ac:dyDescent="0.25">
      <c r="A4" s="15">
        <v>3</v>
      </c>
      <c r="B4" s="15" t="s">
        <v>55</v>
      </c>
      <c r="C4" s="15">
        <v>1</v>
      </c>
      <c r="D4" s="16">
        <v>100</v>
      </c>
    </row>
    <row r="5" spans="1:4" ht="45" customHeight="1" x14ac:dyDescent="0.25">
      <c r="A5" s="15">
        <v>4</v>
      </c>
      <c r="B5" s="15" t="s">
        <v>88</v>
      </c>
      <c r="C5" s="15">
        <v>1</v>
      </c>
      <c r="D5" s="16">
        <v>100</v>
      </c>
    </row>
    <row r="6" spans="1:4" ht="45" customHeight="1" x14ac:dyDescent="0.25">
      <c r="A6" s="15">
        <v>5</v>
      </c>
      <c r="B6" s="15" t="s">
        <v>110</v>
      </c>
      <c r="C6" s="15">
        <v>1</v>
      </c>
      <c r="D6" s="16">
        <v>100</v>
      </c>
    </row>
    <row r="7" spans="1:4" ht="45" customHeight="1" x14ac:dyDescent="0.25">
      <c r="A7" s="15">
        <v>6</v>
      </c>
      <c r="B7" s="15" t="s">
        <v>116</v>
      </c>
      <c r="C7" s="15">
        <v>1</v>
      </c>
      <c r="D7" s="16">
        <v>100</v>
      </c>
    </row>
    <row r="8" spans="1:4" ht="45" customHeight="1" x14ac:dyDescent="0.25">
      <c r="A8" s="15">
        <v>7</v>
      </c>
      <c r="B8" s="15" t="s">
        <v>130</v>
      </c>
      <c r="C8" s="15">
        <v>2</v>
      </c>
      <c r="D8" s="16">
        <v>100</v>
      </c>
    </row>
    <row r="9" spans="1:4" ht="45" customHeight="1" x14ac:dyDescent="0.25">
      <c r="A9" s="15">
        <v>8</v>
      </c>
      <c r="B9" s="15" t="s">
        <v>141</v>
      </c>
      <c r="C9" s="15">
        <v>3</v>
      </c>
      <c r="D9" s="16">
        <v>100</v>
      </c>
    </row>
    <row r="10" spans="1:4" ht="45" customHeight="1" x14ac:dyDescent="0.25">
      <c r="A10" s="15">
        <v>9</v>
      </c>
      <c r="B10" s="15" t="s">
        <v>164</v>
      </c>
      <c r="C10" s="15">
        <v>2</v>
      </c>
      <c r="D10" s="16">
        <v>100</v>
      </c>
    </row>
    <row r="11" spans="1:4" ht="45" customHeight="1" x14ac:dyDescent="0.25">
      <c r="A11" s="15">
        <v>10</v>
      </c>
      <c r="B11" s="15" t="s">
        <v>177</v>
      </c>
      <c r="C11" s="15">
        <v>2</v>
      </c>
      <c r="D11" s="16">
        <v>100</v>
      </c>
    </row>
    <row r="12" spans="1:4" ht="45" customHeight="1" x14ac:dyDescent="0.25">
      <c r="A12" s="15">
        <v>11</v>
      </c>
      <c r="B12" s="15" t="s">
        <v>193</v>
      </c>
      <c r="C12" s="15">
        <v>4</v>
      </c>
      <c r="D12" s="16">
        <v>100</v>
      </c>
    </row>
    <row r="13" spans="1:4" ht="45" customHeight="1" x14ac:dyDescent="0.25">
      <c r="A13" s="17">
        <v>12</v>
      </c>
      <c r="B13" s="17" t="s">
        <v>224</v>
      </c>
      <c r="C13" s="15">
        <v>2</v>
      </c>
      <c r="D13" s="16">
        <v>30</v>
      </c>
    </row>
    <row r="14" spans="1:4" ht="45" customHeight="1" x14ac:dyDescent="0.25">
      <c r="A14" s="18"/>
      <c r="B14" s="18"/>
      <c r="C14" s="15">
        <v>3</v>
      </c>
      <c r="D14" s="16">
        <v>50</v>
      </c>
    </row>
    <row r="15" spans="1:4" ht="45" customHeight="1" x14ac:dyDescent="0.25">
      <c r="A15" s="19"/>
      <c r="B15" s="19"/>
      <c r="C15" s="15">
        <v>4</v>
      </c>
      <c r="D15" s="16">
        <v>20</v>
      </c>
    </row>
    <row r="16" spans="1:4" ht="45" customHeight="1" x14ac:dyDescent="0.25">
      <c r="A16" s="20">
        <v>13</v>
      </c>
      <c r="B16" s="20" t="s">
        <v>327</v>
      </c>
      <c r="C16" s="15">
        <v>2</v>
      </c>
      <c r="D16" s="16">
        <v>30</v>
      </c>
    </row>
    <row r="17" spans="1:4" ht="45" customHeight="1" x14ac:dyDescent="0.25">
      <c r="A17" s="18"/>
      <c r="B17" s="18"/>
      <c r="C17" s="15">
        <v>3</v>
      </c>
      <c r="D17" s="16">
        <v>50</v>
      </c>
    </row>
    <row r="18" spans="1:4" ht="45" customHeight="1" x14ac:dyDescent="0.25">
      <c r="A18" s="19"/>
      <c r="B18" s="19"/>
      <c r="C18" s="15">
        <v>4</v>
      </c>
      <c r="D18" s="16">
        <v>20</v>
      </c>
    </row>
    <row r="19" spans="1:4" ht="45" customHeight="1" x14ac:dyDescent="0.25">
      <c r="A19" s="15">
        <v>14</v>
      </c>
      <c r="B19" s="15" t="s">
        <v>379</v>
      </c>
      <c r="C19" s="15">
        <v>4</v>
      </c>
      <c r="D19" s="16">
        <v>100</v>
      </c>
    </row>
    <row r="20" spans="1:4" ht="45" customHeight="1" x14ac:dyDescent="0.25">
      <c r="A20" s="15">
        <v>15</v>
      </c>
      <c r="B20" s="15" t="s">
        <v>383</v>
      </c>
      <c r="C20" s="15">
        <v>4</v>
      </c>
      <c r="D20" s="16">
        <v>100</v>
      </c>
    </row>
    <row r="21" spans="1:4" ht="45" customHeight="1" x14ac:dyDescent="0.25">
      <c r="A21" s="17">
        <v>16</v>
      </c>
      <c r="B21" s="17" t="s">
        <v>387</v>
      </c>
      <c r="C21" s="15">
        <v>1</v>
      </c>
      <c r="D21" s="16">
        <v>76.239999999999995</v>
      </c>
    </row>
    <row r="22" spans="1:4" ht="45" customHeight="1" x14ac:dyDescent="0.25">
      <c r="A22" s="18"/>
      <c r="B22" s="18"/>
      <c r="C22" s="15">
        <v>2</v>
      </c>
      <c r="D22" s="16">
        <v>7.9200000000000008</v>
      </c>
    </row>
    <row r="23" spans="1:4" ht="45" customHeight="1" x14ac:dyDescent="0.25">
      <c r="A23" s="18"/>
      <c r="B23" s="18"/>
      <c r="C23" s="15">
        <v>3</v>
      </c>
      <c r="D23" s="16">
        <v>7.9200000000000008</v>
      </c>
    </row>
    <row r="24" spans="1:4" ht="45" customHeight="1" x14ac:dyDescent="0.25">
      <c r="A24" s="19"/>
      <c r="B24" s="19"/>
      <c r="C24" s="15">
        <v>4</v>
      </c>
      <c r="D24" s="16">
        <v>7.9200000000000008</v>
      </c>
    </row>
    <row r="25" spans="1:4" ht="45" customHeight="1" x14ac:dyDescent="0.25">
      <c r="A25" s="20">
        <v>17</v>
      </c>
      <c r="B25" s="20" t="s">
        <v>397</v>
      </c>
      <c r="C25" s="15">
        <v>1</v>
      </c>
      <c r="D25" s="16">
        <v>25</v>
      </c>
    </row>
    <row r="26" spans="1:4" ht="45" customHeight="1" x14ac:dyDescent="0.25">
      <c r="A26" s="18"/>
      <c r="B26" s="18"/>
      <c r="C26" s="15">
        <v>2</v>
      </c>
      <c r="D26" s="16">
        <v>25</v>
      </c>
    </row>
    <row r="27" spans="1:4" ht="45" customHeight="1" x14ac:dyDescent="0.25">
      <c r="A27" s="18"/>
      <c r="B27" s="18"/>
      <c r="C27" s="15">
        <v>3</v>
      </c>
      <c r="D27" s="16">
        <v>25</v>
      </c>
    </row>
    <row r="28" spans="1:4" ht="45" customHeight="1" x14ac:dyDescent="0.25">
      <c r="A28" s="21"/>
      <c r="B28" s="21"/>
      <c r="C28" s="15">
        <v>4</v>
      </c>
      <c r="D28" s="16">
        <v>25</v>
      </c>
    </row>
  </sheetData>
  <mergeCells count="8">
    <mergeCell ref="A25:A28"/>
    <mergeCell ref="B25:B28"/>
    <mergeCell ref="A13:A15"/>
    <mergeCell ref="B13:B15"/>
    <mergeCell ref="A16:A18"/>
    <mergeCell ref="B16:B18"/>
    <mergeCell ref="A21:A24"/>
    <mergeCell ref="B21:B24"/>
  </mergeCells>
  <conditionalFormatting sqref="A2:A13 C2:C28 A16 A19:A21 A25">
    <cfRule type="expression" dxfId="3" priority="4">
      <formula>OR(NOT(ISNUMBER(A2)),A2&lt;&gt;ROUND(A2,0),A2&lt;1,A2&gt;999)</formula>
    </cfRule>
  </conditionalFormatting>
  <conditionalFormatting sqref="B2:B13 B16 B19:B21 B25">
    <cfRule type="expression" dxfId="2" priority="3">
      <formula>OR(B2="",LEN(B2)&gt;100)</formula>
    </cfRule>
  </conditionalFormatting>
  <conditionalFormatting sqref="D2:D28">
    <cfRule type="expression" dxfId="1" priority="2">
      <formula>$A2="Macrosserviço"</formula>
    </cfRule>
  </conditionalFormatting>
  <conditionalFormatting sqref="D2:D28">
    <cfRule type="expression" dxfId="0" priority="1">
      <formula>OR(NOT(ISNUMBER(D2)),D2&lt;&gt;ROUND(D2,2),D2&lt;=0,D2&gt;100)</formula>
    </cfRule>
  </conditionalFormatting>
  <pageMargins left="0.78740157480314998" right="0.78740157480314998" top="0.78740157480314998" bottom="0.78740157480314998" header="5.7086614173228396" footer="0.59055118110236204"/>
  <pageSetup paperSize="9" orientation="portrait" r:id="rId1"/>
  <headerFooter>
    <oddHeader>&amp;L_</oddHeader>
    <oddFooter>&amp;LPMv3.10&amp;R&amp;P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PO-BM</vt:lpstr>
      <vt:lpstr>CFF-BM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LBM Engenharia</dc:creator>
  <cp:lastModifiedBy>LBM Engenharia</cp:lastModifiedBy>
  <dcterms:created xsi:type="dcterms:W3CDTF">2025-08-25T20:27:42Z</dcterms:created>
  <dcterms:modified xsi:type="dcterms:W3CDTF">2025-08-25T20:27:43Z</dcterms:modified>
</cp:coreProperties>
</file>