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iclovia-Aquidaban\PROCESSO DE REVITALIZAÇÃO\"/>
    </mc:Choice>
  </mc:AlternateContent>
  <bookViews>
    <workbookView xWindow="0" yWindow="0" windowWidth="24000" windowHeight="9735" activeTab="2"/>
  </bookViews>
  <sheets>
    <sheet name="M.C." sheetId="7" r:id="rId1"/>
    <sheet name="M.C.01" sheetId="8" r:id="rId2"/>
    <sheet name="ORÇA" sheetId="5" r:id="rId3"/>
    <sheet name="CFF" sheetId="2" r:id="rId4"/>
    <sheet name="BDI DES" sheetId="4" r:id="rId5"/>
  </sheets>
  <externalReferences>
    <externalReference r:id="rId6"/>
  </externalReferences>
  <definedNames>
    <definedName name="_xlnm.Print_Area" localSheetId="3">CFF!$A$1:$Q$28</definedName>
    <definedName name="_xlnm.Print_Area" localSheetId="0">M.C.!$A$1:$L$63</definedName>
    <definedName name="_xlnm.Print_Area" localSheetId="2">ORÇA!$A$1:$J$67</definedName>
    <definedName name="_xlnm.Print_Titles" localSheetId="0">M.C.!$1:$6</definedName>
    <definedName name="_xlnm.Print_Titles" localSheetId="2">ORÇA!$1:$7</definedName>
  </definedNames>
  <calcPr calcId="152511"/>
</workbook>
</file>

<file path=xl/calcChain.xml><?xml version="1.0" encoding="utf-8"?>
<calcChain xmlns="http://schemas.openxmlformats.org/spreadsheetml/2006/main">
  <c r="C4" i="5" l="1"/>
  <c r="B4" i="5"/>
  <c r="B4" i="7"/>
  <c r="E3" i="8"/>
  <c r="F58" i="5"/>
  <c r="F59" i="5"/>
  <c r="F62" i="5"/>
  <c r="F49" i="5"/>
  <c r="F50" i="5"/>
  <c r="F51" i="5"/>
  <c r="F52" i="5"/>
  <c r="F48" i="5"/>
  <c r="F36" i="5"/>
  <c r="F37" i="5"/>
  <c r="F38" i="5"/>
  <c r="F39" i="5"/>
  <c r="F40" i="5"/>
  <c r="F41" i="5"/>
  <c r="F42" i="5"/>
  <c r="F43" i="5"/>
  <c r="F44" i="5"/>
  <c r="F45" i="5"/>
  <c r="F46" i="5"/>
  <c r="F35" i="5"/>
  <c r="F27" i="5"/>
  <c r="F29" i="5"/>
  <c r="F30" i="5"/>
  <c r="F33" i="5"/>
  <c r="F20" i="5"/>
  <c r="F16" i="5"/>
  <c r="F15" i="5"/>
  <c r="F10" i="5"/>
  <c r="F11" i="5"/>
  <c r="F12" i="5"/>
  <c r="F13" i="5"/>
  <c r="F9" i="5"/>
  <c r="F9" i="7"/>
  <c r="F8" i="7"/>
  <c r="F33" i="8"/>
  <c r="F32" i="8"/>
  <c r="F31" i="8"/>
  <c r="F30" i="8"/>
  <c r="F29" i="8"/>
  <c r="F28" i="8"/>
  <c r="F27" i="8"/>
  <c r="F26" i="8"/>
  <c r="F25" i="8"/>
  <c r="F24" i="8"/>
  <c r="F23" i="8"/>
  <c r="F22" i="8"/>
  <c r="D26" i="8"/>
  <c r="D32" i="8"/>
  <c r="D31" i="8"/>
  <c r="D30" i="8"/>
  <c r="D29" i="8"/>
  <c r="D28" i="8"/>
  <c r="D27" i="8"/>
  <c r="D25" i="8"/>
  <c r="D24" i="8"/>
  <c r="D23" i="8"/>
  <c r="D22" i="8"/>
  <c r="F9" i="8"/>
  <c r="D33" i="8" s="1"/>
  <c r="B15" i="8"/>
  <c r="B14" i="8"/>
  <c r="B13" i="8"/>
  <c r="B12" i="8"/>
  <c r="B11" i="8"/>
  <c r="B10" i="8"/>
  <c r="B9" i="8"/>
  <c r="B8" i="8"/>
  <c r="B7" i="8"/>
  <c r="B34" i="8"/>
  <c r="F25" i="7" s="1"/>
  <c r="F26" i="5" s="1"/>
  <c r="D19" i="8"/>
  <c r="F18" i="7" s="1"/>
  <c r="F19" i="5" s="1"/>
  <c r="F34" i="8" l="1"/>
  <c r="F54" i="7" s="1"/>
  <c r="F55" i="5" s="1"/>
  <c r="D34" i="8"/>
  <c r="F53" i="7" s="1"/>
  <c r="F54" i="5" s="1"/>
  <c r="F7" i="8"/>
  <c r="F19" i="8" s="1"/>
  <c r="B19" i="8"/>
  <c r="F17" i="7" s="1"/>
  <c r="F18" i="5" s="1"/>
  <c r="H58" i="7"/>
  <c r="I58" i="7" s="1"/>
  <c r="H45" i="7"/>
  <c r="I45" i="7" s="1"/>
  <c r="H44" i="7"/>
  <c r="I44" i="7" s="1"/>
  <c r="H37" i="7"/>
  <c r="I37" i="7" s="1"/>
  <c r="H36" i="7"/>
  <c r="I36" i="7" s="1"/>
  <c r="H35" i="7"/>
  <c r="I35" i="7" s="1"/>
  <c r="F27" i="7"/>
  <c r="H26" i="7"/>
  <c r="I26" i="7" s="1"/>
  <c r="H25" i="7"/>
  <c r="F23" i="7"/>
  <c r="F24" i="5" s="1"/>
  <c r="H15" i="7"/>
  <c r="I15" i="7" s="1"/>
  <c r="H12" i="7"/>
  <c r="I12" i="7" s="1"/>
  <c r="H11" i="7"/>
  <c r="I11" i="7" s="1"/>
  <c r="H8" i="7"/>
  <c r="I8" i="7" s="1"/>
  <c r="G3" i="7"/>
  <c r="H50" i="7" s="1"/>
  <c r="I50" i="7" s="1"/>
  <c r="B4" i="4"/>
  <c r="B3" i="4"/>
  <c r="Q4" i="2"/>
  <c r="N62" i="5"/>
  <c r="O62" i="5"/>
  <c r="O63" i="5"/>
  <c r="B25" i="2"/>
  <c r="B23" i="2"/>
  <c r="B21" i="2"/>
  <c r="B19" i="2"/>
  <c r="B17" i="2"/>
  <c r="B15" i="2"/>
  <c r="B13" i="2"/>
  <c r="B11" i="2"/>
  <c r="B9" i="2"/>
  <c r="B3" i="2"/>
  <c r="F59" i="7" l="1"/>
  <c r="F60" i="5" s="1"/>
  <c r="F21" i="7"/>
  <c r="F56" i="7"/>
  <c r="F57" i="5" s="1"/>
  <c r="F30" i="7"/>
  <c r="F28" i="5"/>
  <c r="H30" i="7"/>
  <c r="H53" i="7"/>
  <c r="I53" i="7" s="1"/>
  <c r="H10" i="7"/>
  <c r="I10" i="7" s="1"/>
  <c r="H23" i="7"/>
  <c r="I23" i="7" s="1"/>
  <c r="H32" i="7"/>
  <c r="I32" i="7" s="1"/>
  <c r="H43" i="7"/>
  <c r="I43" i="7" s="1"/>
  <c r="H57" i="7"/>
  <c r="I57" i="7" s="1"/>
  <c r="H48" i="7"/>
  <c r="I48" i="7" s="1"/>
  <c r="H59" i="7"/>
  <c r="H17" i="7"/>
  <c r="I17" i="7" s="1"/>
  <c r="H27" i="7"/>
  <c r="I27" i="7" s="1"/>
  <c r="H38" i="7"/>
  <c r="I38" i="7" s="1"/>
  <c r="H49" i="7"/>
  <c r="I49" i="7" s="1"/>
  <c r="H60" i="7"/>
  <c r="H18" i="7"/>
  <c r="I18" i="7" s="1"/>
  <c r="H28" i="7"/>
  <c r="I28" i="7" s="1"/>
  <c r="H40" i="7"/>
  <c r="I40" i="7" s="1"/>
  <c r="H61" i="7"/>
  <c r="I61" i="7" s="1"/>
  <c r="H21" i="7"/>
  <c r="H41" i="7"/>
  <c r="I41" i="7" s="1"/>
  <c r="H51" i="7"/>
  <c r="I51" i="7" s="1"/>
  <c r="I25" i="7"/>
  <c r="H14" i="7"/>
  <c r="H19" i="7"/>
  <c r="I19" i="7" s="1"/>
  <c r="H29" i="7"/>
  <c r="I29" i="7" s="1"/>
  <c r="H31" i="7"/>
  <c r="H39" i="7"/>
  <c r="I39" i="7" s="1"/>
  <c r="H47" i="7"/>
  <c r="H54" i="7"/>
  <c r="H56" i="7"/>
  <c r="I30" i="7"/>
  <c r="H9" i="7"/>
  <c r="H22" i="7"/>
  <c r="H34" i="7"/>
  <c r="H42" i="7"/>
  <c r="I42" i="7" s="1"/>
  <c r="N57" i="5"/>
  <c r="N56" i="5"/>
  <c r="I59" i="7" l="1"/>
  <c r="F60" i="7"/>
  <c r="F61" i="5" s="1"/>
  <c r="I21" i="7"/>
  <c r="I56" i="7"/>
  <c r="F22" i="7"/>
  <c r="F23" i="5" s="1"/>
  <c r="N54" i="5" s="1"/>
  <c r="F22" i="5"/>
  <c r="N55" i="5" s="1"/>
  <c r="O55" i="5" s="1"/>
  <c r="I31" i="7"/>
  <c r="I52" i="7"/>
  <c r="F31" i="7"/>
  <c r="F32" i="5" s="1"/>
  <c r="F31" i="5"/>
  <c r="I24" i="7"/>
  <c r="K24" i="7"/>
  <c r="I33" i="7"/>
  <c r="I34" i="7"/>
  <c r="I16" i="7"/>
  <c r="I47" i="7"/>
  <c r="I46" i="7"/>
  <c r="I9" i="7"/>
  <c r="I7" i="7"/>
  <c r="K16" i="7"/>
  <c r="I54" i="7"/>
  <c r="I14" i="7"/>
  <c r="I13" i="7"/>
  <c r="I55" i="7"/>
  <c r="N53" i="5"/>
  <c r="I60" i="7" l="1"/>
  <c r="K55" i="7" s="1"/>
  <c r="I22" i="7"/>
  <c r="K20" i="7" s="1"/>
  <c r="I20" i="7"/>
  <c r="K33" i="7"/>
  <c r="K46" i="7"/>
  <c r="J47" i="7"/>
  <c r="K13" i="7"/>
  <c r="K7" i="7"/>
  <c r="K52" i="7"/>
  <c r="I20" i="4"/>
  <c r="I13" i="4" s="1"/>
  <c r="I22" i="4" s="1"/>
  <c r="J13" i="7" l="1"/>
  <c r="J34" i="7"/>
  <c r="J20" i="7"/>
  <c r="J9" i="7"/>
  <c r="J14" i="7"/>
  <c r="J22" i="7"/>
  <c r="J16" i="7"/>
  <c r="J33" i="7"/>
  <c r="J7" i="7"/>
  <c r="J10" i="7"/>
  <c r="J37" i="7"/>
  <c r="J18" i="7"/>
  <c r="J8" i="7"/>
  <c r="J41" i="7"/>
  <c r="J48" i="7"/>
  <c r="J28" i="7"/>
  <c r="J21" i="7"/>
  <c r="J12" i="7"/>
  <c r="J40" i="7"/>
  <c r="J11" i="7"/>
  <c r="J26" i="7"/>
  <c r="J38" i="7"/>
  <c r="J36" i="7"/>
  <c r="J32" i="7"/>
  <c r="J50" i="7"/>
  <c r="J45" i="7"/>
  <c r="J57" i="7"/>
  <c r="J35" i="7"/>
  <c r="J61" i="7"/>
  <c r="J49" i="7"/>
  <c r="J58" i="7"/>
  <c r="J51" i="7"/>
  <c r="J44" i="7"/>
  <c r="J43" i="7"/>
  <c r="J23" i="7"/>
  <c r="J15" i="7"/>
  <c r="J27" i="7"/>
  <c r="J31" i="7"/>
  <c r="J25" i="7"/>
  <c r="J53" i="7"/>
  <c r="J30" i="7"/>
  <c r="J24" i="7"/>
  <c r="J56" i="7"/>
  <c r="J60" i="7"/>
  <c r="J29" i="7"/>
  <c r="J17" i="7"/>
  <c r="J39" i="7"/>
  <c r="J59" i="7"/>
  <c r="J19" i="7"/>
  <c r="J42" i="7"/>
  <c r="J54" i="7"/>
  <c r="J46" i="7"/>
  <c r="I4" i="4"/>
  <c r="P4" i="2"/>
  <c r="G3" i="5"/>
  <c r="H59" i="5" s="1"/>
  <c r="I59" i="5" s="1"/>
  <c r="H62" i="5"/>
  <c r="I62" i="5" s="1"/>
  <c r="H61" i="5"/>
  <c r="I61" i="5" s="1"/>
  <c r="H60" i="5"/>
  <c r="I60" i="5" s="1"/>
  <c r="H30" i="5"/>
  <c r="I30" i="5" s="1"/>
  <c r="H57" i="5"/>
  <c r="H54" i="5"/>
  <c r="H55" i="5"/>
  <c r="I55" i="5" s="1"/>
  <c r="H51" i="5"/>
  <c r="I51" i="5" s="1"/>
  <c r="H46" i="5"/>
  <c r="I46" i="5" s="1"/>
  <c r="H45" i="5"/>
  <c r="I45" i="5" s="1"/>
  <c r="H44" i="5"/>
  <c r="I44" i="5" s="1"/>
  <c r="H43" i="5"/>
  <c r="I43" i="5" s="1"/>
  <c r="H36" i="5"/>
  <c r="I36" i="5" s="1"/>
  <c r="H40" i="5"/>
  <c r="I40" i="5" s="1"/>
  <c r="H41" i="5"/>
  <c r="I41" i="5" s="1"/>
  <c r="H11" i="5"/>
  <c r="I11" i="5" s="1"/>
  <c r="H23" i="5"/>
  <c r="I23" i="5" s="1"/>
  <c r="H28" i="5"/>
  <c r="I28" i="5" s="1"/>
  <c r="H33" i="5"/>
  <c r="I33" i="5" s="1"/>
  <c r="H26" i="5"/>
  <c r="H19" i="5"/>
  <c r="I19" i="5" s="1"/>
  <c r="H20" i="5"/>
  <c r="I20" i="5" s="1"/>
  <c r="H13" i="5"/>
  <c r="I13" i="5" s="1"/>
  <c r="B5" i="2"/>
  <c r="H27" i="5" l="1"/>
  <c r="H16" i="5"/>
  <c r="I16" i="5" s="1"/>
  <c r="H35" i="5"/>
  <c r="H49" i="5"/>
  <c r="I49" i="5" s="1"/>
  <c r="H24" i="5"/>
  <c r="I24" i="5" s="1"/>
  <c r="H31" i="5"/>
  <c r="I31" i="5" s="1"/>
  <c r="H18" i="5"/>
  <c r="I18" i="5" s="1"/>
  <c r="K17" i="5" s="1"/>
  <c r="H10" i="5"/>
  <c r="I10" i="5" s="1"/>
  <c r="H39" i="5"/>
  <c r="I39" i="5" s="1"/>
  <c r="H50" i="5"/>
  <c r="I50" i="5" s="1"/>
  <c r="H29" i="5"/>
  <c r="I29" i="5" s="1"/>
  <c r="H32" i="5"/>
  <c r="I32" i="5" s="1"/>
  <c r="H22" i="5"/>
  <c r="I21" i="5" s="1"/>
  <c r="C15" i="2" s="1"/>
  <c r="H42" i="5"/>
  <c r="I42" i="5" s="1"/>
  <c r="H38" i="5"/>
  <c r="I38" i="5" s="1"/>
  <c r="H48" i="5"/>
  <c r="I48" i="5" s="1"/>
  <c r="H58" i="5"/>
  <c r="I58" i="5" s="1"/>
  <c r="H12" i="5"/>
  <c r="I12" i="5" s="1"/>
  <c r="H15" i="5"/>
  <c r="H37" i="5"/>
  <c r="I37" i="5" s="1"/>
  <c r="H9" i="5"/>
  <c r="I9" i="5" s="1"/>
  <c r="H52" i="5"/>
  <c r="I52" i="5" s="1"/>
  <c r="I56" i="5"/>
  <c r="C25" i="2" s="1"/>
  <c r="I26" i="5"/>
  <c r="I57" i="5"/>
  <c r="K56" i="5" s="1"/>
  <c r="I27" i="5"/>
  <c r="I47" i="5"/>
  <c r="C21" i="2" s="1"/>
  <c r="I53" i="5"/>
  <c r="C23" i="2" s="1"/>
  <c r="I54" i="5"/>
  <c r="K53" i="5" s="1"/>
  <c r="I35" i="5"/>
  <c r="I15" i="5"/>
  <c r="I14" i="5"/>
  <c r="C11" i="2" s="1"/>
  <c r="I17" i="5"/>
  <c r="C13" i="2" s="1"/>
  <c r="K47" i="5" l="1"/>
  <c r="K14" i="5"/>
  <c r="K8" i="5"/>
  <c r="I25" i="5"/>
  <c r="C17" i="2" s="1"/>
  <c r="K34" i="5"/>
  <c r="I25" i="2"/>
  <c r="G25" i="2"/>
  <c r="O25" i="2"/>
  <c r="E25" i="2"/>
  <c r="M25" i="2"/>
  <c r="K25" i="2"/>
  <c r="I22" i="5"/>
  <c r="K21" i="5" s="1"/>
  <c r="I8" i="5"/>
  <c r="C9" i="2" s="1"/>
  <c r="M21" i="2"/>
  <c r="K21" i="2"/>
  <c r="I21" i="2"/>
  <c r="E21" i="2"/>
  <c r="O21" i="2"/>
  <c r="G21" i="2"/>
  <c r="O23" i="2"/>
  <c r="I23" i="2"/>
  <c r="M23" i="2"/>
  <c r="K23" i="2"/>
  <c r="E23" i="2"/>
  <c r="G23" i="2"/>
  <c r="I34" i="5"/>
  <c r="C19" i="2" s="1"/>
  <c r="O15" i="2"/>
  <c r="G15" i="2"/>
  <c r="M15" i="2"/>
  <c r="K15" i="2"/>
  <c r="I15" i="2"/>
  <c r="E15" i="2"/>
  <c r="O13" i="2"/>
  <c r="G13" i="2"/>
  <c r="M13" i="2"/>
  <c r="K13" i="2"/>
  <c r="I13" i="2"/>
  <c r="E13" i="2"/>
  <c r="K11" i="2"/>
  <c r="G11" i="2"/>
  <c r="O11" i="2"/>
  <c r="I11" i="2"/>
  <c r="E11" i="2"/>
  <c r="M11" i="2"/>
  <c r="K25" i="5"/>
  <c r="Q23" i="2" l="1"/>
  <c r="Q21" i="2"/>
  <c r="K63" i="5"/>
  <c r="O19" i="2"/>
  <c r="M19" i="2"/>
  <c r="K19" i="2"/>
  <c r="E19" i="2"/>
  <c r="I19" i="2"/>
  <c r="G19" i="2"/>
  <c r="H63" i="5"/>
  <c r="J30" i="5" s="1"/>
  <c r="K17" i="2"/>
  <c r="I17" i="2"/>
  <c r="G17" i="2"/>
  <c r="M17" i="2"/>
  <c r="E17" i="2"/>
  <c r="O17" i="2"/>
  <c r="K9" i="2"/>
  <c r="O9" i="2"/>
  <c r="M9" i="2"/>
  <c r="E9" i="2"/>
  <c r="C27" i="2"/>
  <c r="D9" i="2" s="1"/>
  <c r="G9" i="2"/>
  <c r="Q15" i="2"/>
  <c r="Q13" i="2"/>
  <c r="I9" i="2"/>
  <c r="Q11" i="2"/>
  <c r="G27" i="2" l="1"/>
  <c r="H27" i="2" s="1"/>
  <c r="Q17" i="2"/>
  <c r="J29" i="5"/>
  <c r="I27" i="2"/>
  <c r="J27" i="2" s="1"/>
  <c r="E27" i="2"/>
  <c r="F27" i="2" s="1"/>
  <c r="J60" i="5"/>
  <c r="J57" i="5"/>
  <c r="J61" i="5"/>
  <c r="J31" i="5"/>
  <c r="J59" i="5"/>
  <c r="J62" i="5"/>
  <c r="J58" i="5"/>
  <c r="J32" i="5"/>
  <c r="O27" i="2"/>
  <c r="P27" i="2" s="1"/>
  <c r="M27" i="2"/>
  <c r="N27" i="2" s="1"/>
  <c r="K27" i="2"/>
  <c r="L27" i="2" s="1"/>
  <c r="Q25" i="2"/>
  <c r="D25" i="2"/>
  <c r="D11" i="2"/>
  <c r="D17" i="2"/>
  <c r="D23" i="2"/>
  <c r="D21" i="2"/>
  <c r="D19" i="2"/>
  <c r="D15" i="2"/>
  <c r="D13" i="2"/>
  <c r="Q9" i="2"/>
  <c r="Q19" i="2"/>
  <c r="E28" i="2" l="1"/>
  <c r="F28" i="2" s="1"/>
  <c r="D27" i="2"/>
  <c r="J54" i="5"/>
  <c r="J24" i="5"/>
  <c r="J25" i="5"/>
  <c r="J17" i="5"/>
  <c r="J40" i="5"/>
  <c r="J8" i="5"/>
  <c r="J44" i="5"/>
  <c r="J9" i="5"/>
  <c r="I7" i="5"/>
  <c r="J11" i="5"/>
  <c r="J20" i="5"/>
  <c r="J13" i="5"/>
  <c r="J18" i="5"/>
  <c r="J46" i="5"/>
  <c r="J55" i="5"/>
  <c r="J36" i="5"/>
  <c r="J12" i="5"/>
  <c r="J48" i="5"/>
  <c r="J51" i="5"/>
  <c r="J22" i="5"/>
  <c r="J27" i="5"/>
  <c r="J37" i="5"/>
  <c r="J35" i="5"/>
  <c r="J38" i="5"/>
  <c r="J50" i="5"/>
  <c r="J19" i="5"/>
  <c r="J39" i="5"/>
  <c r="J33" i="5"/>
  <c r="J45" i="5"/>
  <c r="J28" i="5"/>
  <c r="J52" i="5"/>
  <c r="J14" i="5"/>
  <c r="J10" i="5"/>
  <c r="J15" i="5"/>
  <c r="J21" i="5"/>
  <c r="J49" i="5"/>
  <c r="J41" i="5"/>
  <c r="J43" i="5"/>
  <c r="J26" i="5"/>
  <c r="J16" i="5"/>
  <c r="J34" i="5"/>
  <c r="J23" i="5"/>
  <c r="J47" i="5"/>
  <c r="J42" i="5"/>
  <c r="G28" i="2" l="1"/>
  <c r="H28" i="2" l="1"/>
  <c r="I28" i="2"/>
  <c r="K28" i="2" l="1"/>
  <c r="J28" i="2"/>
  <c r="M28" i="2" l="1"/>
  <c r="L28" i="2"/>
  <c r="O28" i="2" l="1"/>
  <c r="P28" i="2" s="1"/>
  <c r="N28" i="2"/>
</calcChain>
</file>

<file path=xl/sharedStrings.xml><?xml version="1.0" encoding="utf-8"?>
<sst xmlns="http://schemas.openxmlformats.org/spreadsheetml/2006/main" count="669" uniqueCount="262">
  <si>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</si>
  <si>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</si>
  <si>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</si>
  <si>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</si>
  <si>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</si>
  <si>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</si>
  <si>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</si>
  <si>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</si>
  <si>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</si>
  <si>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</si>
  <si>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</si>
  <si>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ADMINISTRAÇÃO LOCAL</t>
  </si>
  <si>
    <t xml:space="preserve"> 1.1 </t>
  </si>
  <si>
    <t xml:space="preserve"> 90778 </t>
  </si>
  <si>
    <t>SINAPI</t>
  </si>
  <si>
    <t>ENGENHEIRO CIVIL DE OBRA PLENO COM ENCARGOS COMPLEMENTARES</t>
  </si>
  <si>
    <t>H</t>
  </si>
  <si>
    <t xml:space="preserve"> 1.2 </t>
  </si>
  <si>
    <t xml:space="preserve"> 90780 </t>
  </si>
  <si>
    <t>MESTRE DE OBRAS COM ENCARGOS COMPLEMENTARES</t>
  </si>
  <si>
    <t xml:space="preserve"> 1.4 </t>
  </si>
  <si>
    <t xml:space="preserve"> 90781 </t>
  </si>
  <si>
    <t>TOPOGRAFO COM ENCARGOS COMPLEMENTARES</t>
  </si>
  <si>
    <t xml:space="preserve"> 1.5 </t>
  </si>
  <si>
    <t xml:space="preserve"> 88253 </t>
  </si>
  <si>
    <t>AUXILIAR DE TOPÓGRAFO COM ENCARGOS COMPLEMENTARES</t>
  </si>
  <si>
    <t xml:space="preserve"> 1.6 </t>
  </si>
  <si>
    <t xml:space="preserve"> 92145 </t>
  </si>
  <si>
    <t>Copia da SINAPI (92145) - CAMINHONETE CABINE SIMPLES COM MOTOR 1.6 FLEX, CÂMBIO MANUAL, POTÊNCIA 101/104 CV, 2 PORTAS - CHP DIURNO. AF_11/2015</t>
  </si>
  <si>
    <t>CHP</t>
  </si>
  <si>
    <t xml:space="preserve"> 2 </t>
  </si>
  <si>
    <t>SERVIÇOS PRELIMINARES</t>
  </si>
  <si>
    <t xml:space="preserve"> 2.1 </t>
  </si>
  <si>
    <t>PLACA DE IDENTIFICAÇÃO DE OBRA PÚBLICA, INCLUSIVE PINTURA E ADESIVOS, ESTRUTURA E SUPORTE DE MADEIRA. FORNECIMENTO E COLOCAÇÃO.</t>
  </si>
  <si>
    <t>m²</t>
  </si>
  <si>
    <t xml:space="preserve"> 2.2 </t>
  </si>
  <si>
    <t xml:space="preserve"> 00010775 </t>
  </si>
  <si>
    <t>LOCACAO DE CONTAINER 2,30 X 6,00 M, ALT. 2,50 M, COM 1 SANITARIO, PARA ESCRITORIO, COMPLETO, SEM DIVISORIAS INTERNAS (NAO INCLUI MOBILIZACAO/DESMOBILIZACAO)</t>
  </si>
  <si>
    <t xml:space="preserve"> 3 </t>
  </si>
  <si>
    <t>REMOÇÃO / DEMOLIÇÃO</t>
  </si>
  <si>
    <t xml:space="preserve"> 3.1 </t>
  </si>
  <si>
    <t xml:space="preserve"> 98525 </t>
  </si>
  <si>
    <t>LIMPEZA MECANIZADA DE CAMADA VEGETAL, VEGETAÇÃO E PEQUENAS ÁRVORES (DIÂMETRO DE TRONCO MENOR QUE 0,20 M), COM TRATOR DE ESTEIRAS.AF_05/2018</t>
  </si>
  <si>
    <t xml:space="preserve"> 3.2 </t>
  </si>
  <si>
    <t xml:space="preserve"> 3.3 </t>
  </si>
  <si>
    <t>REMOÇÃO MEIO-FIO EM CONCRETO S/ REAPROVEITAMENTO</t>
  </si>
  <si>
    <t xml:space="preserve"> 100982 </t>
  </si>
  <si>
    <t>CARGA, MANOBRA E DESCARGA DE ENTULHO EM CAMINHÃO BASCULANTE 10 M³ - CARGA COM ESCAVADEIRA HIDRÁULICA  (CAÇAMBA DE 0,80 M³ / 111 HP) E DESCARGA LIVRE (UNIDADE: M3). AF_07/2020</t>
  </si>
  <si>
    <t>m³</t>
  </si>
  <si>
    <t xml:space="preserve"> 95876 </t>
  </si>
  <si>
    <t>TRANSPORTE COM CAMINHÃO BASCULANTE DE 14 M³, EM VIA URBANA PAVIMENTADA, DMT ATÉ 30 KM (UNIDADE: M3XKM). AF_07/2020 - DMT=5KM</t>
  </si>
  <si>
    <t xml:space="preserve"> 4 </t>
  </si>
  <si>
    <t>PISTA DE CICLISMO</t>
  </si>
  <si>
    <t xml:space="preserve"> 4.1 </t>
  </si>
  <si>
    <t xml:space="preserve"> 97084 </t>
  </si>
  <si>
    <t>COMPACTAÇÃO MECÂNICA DE SOLO PARA EXECUÇÃO DE RADIER, PISO DE CONCRETO OU LAJE SOBRE SOLO, COM COMPACTADOR DE SOLOS TIPO PLACA VIBRATÓRIA. AF_09/2021</t>
  </si>
  <si>
    <t xml:space="preserve"> 4.2 </t>
  </si>
  <si>
    <t xml:space="preserve"> 94992 </t>
  </si>
  <si>
    <t>EXECUÇÃO DE PASSEIO (CALÇADA) OU PISO DE CONCRETO COM CONCRETO MOLDADO IN LOCO, FEITO EM OBRA, ACABAMENTO CONVENCIONAL, ESPESSURA 6 CM, ARMADO. AF_07/2016</t>
  </si>
  <si>
    <t xml:space="preserve"> 5 </t>
  </si>
  <si>
    <t>ÁREA DE CONVIVÊNCIA</t>
  </si>
  <si>
    <t xml:space="preserve"> 5.1 </t>
  </si>
  <si>
    <t xml:space="preserve"> 92396 </t>
  </si>
  <si>
    <t>EXECUÇÃO DE PASSEIO EM PISO INTERTRAVADO, COM BLOCO RETANGULAR COR NATURAL DE 20 X 10 CM, ESPESSURA 6 CM. AF_12/2015</t>
  </si>
  <si>
    <t xml:space="preserve"> 103314 </t>
  </si>
  <si>
    <t>INSTALAÇÃO DE PERGOLADO DE MADEIRA, EM MAÇARANDUBA, ANGELIM OU EQUIVALENTE DA REGIÃO, FIXADO COM CONCRETO SOBRE PISO DE CONCRETO EXISTENTE. AF_11/2021</t>
  </si>
  <si>
    <t>BANCO DE CONCRETO APARENTE MOLDADO IN LOCO L=50CM E H= 40CM</t>
  </si>
  <si>
    <t>m</t>
  </si>
  <si>
    <t xml:space="preserve"> 6 </t>
  </si>
  <si>
    <t>ILUMINAÇÃO PÚBLICA</t>
  </si>
  <si>
    <t xml:space="preserve"> 7 </t>
  </si>
  <si>
    <t>PAISAGISMO</t>
  </si>
  <si>
    <t xml:space="preserve"> 8 </t>
  </si>
  <si>
    <r>
      <t xml:space="preserve"> 
</t>
    </r>
    <r>
      <rPr>
        <sz val="12"/>
        <color indexed="62"/>
        <rFont val="Arial"/>
        <family val="2"/>
      </rPr>
      <t>Tempo de trabalho e desenvolvimento</t>
    </r>
  </si>
  <si>
    <t>CRONOGRAMA FÍSICO-FINANCEIRO</t>
  </si>
  <si>
    <t>OBRA:</t>
  </si>
  <si>
    <t>BDI</t>
  </si>
  <si>
    <t>ÁREA:</t>
  </si>
  <si>
    <t>LOCAL:</t>
  </si>
  <si>
    <t>ITEM</t>
  </si>
  <si>
    <t>DESCRIÇÃO DO ITEM</t>
  </si>
  <si>
    <t>PERÍODO</t>
  </si>
  <si>
    <t>30 DIAS</t>
  </si>
  <si>
    <t>60 DIAS</t>
  </si>
  <si>
    <t>TOTAL</t>
  </si>
  <si>
    <t>VALOR (R$)</t>
  </si>
  <si>
    <t>%</t>
  </si>
  <si>
    <t>VALOR TOTAL</t>
  </si>
  <si>
    <t>VALOR ACUMULADO</t>
  </si>
  <si>
    <t>Parcela do BDI - Acórdão 2622/2013 - TCU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</si>
  <si>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</si>
  <si>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</si>
  <si>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</si>
  <si>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</si>
  <si>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</si>
  <si>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</si>
  <si>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</si>
  <si>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</si>
  <si>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</si>
  <si>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</si>
  <si>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</si>
  <si>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</si>
  <si>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</si>
  <si>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</si>
  <si>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Total Impostos =</t>
  </si>
  <si>
    <t>Fórmula para o cálculo de BDI</t>
  </si>
  <si>
    <t xml:space="preserve">Fórmula: </t>
  </si>
  <si>
    <t>Notas: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</si>
  <si>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</si>
  <si>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</si>
  <si>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Obs. Adequado ao Acordão 2622/2013 do TCU:</t>
  </si>
  <si>
    <t>COMPOSIÇÃO BDI COM DESONERAÇÃO - SERVIÇOS</t>
  </si>
  <si>
    <t>CPRB - Contribuição Sobre Receita Bruta (no caso de desoneração da folha)</t>
  </si>
  <si>
    <t>1) Declaramos que , conforme Legislação Municipal, a base de cálculo de ISS no município de Sidrolândia/MS é de 40,0% sobre o valor da obra e a alíquota do ISS aplicável no município é de 5,0% - ISS Líquido de 2,0%.</t>
  </si>
  <si>
    <t>2) Alíquota máxima de PIS é de até 1,65% conforme Lei nº10.637/02 em consonância com o Regime de Tributação da Empresa</t>
  </si>
  <si>
    <t>Engª Wanessa L. Basso</t>
  </si>
  <si>
    <r>
      <t xml:space="preserve">
_____________________________________________
Wanessa M. Lelis Basso
</t>
    </r>
    <r>
      <rPr>
        <i/>
        <sz val="10"/>
        <color indexed="8"/>
        <rFont val="Calibri"/>
        <family val="2"/>
      </rPr>
      <t>Engª Civil - CREA/MS - 8605/D</t>
    </r>
  </si>
  <si>
    <t>Tempo de trabalho e desenvolvimento</t>
  </si>
  <si>
    <t>BASE</t>
  </si>
  <si>
    <t>ORÇAMENTO SINTÉTICO</t>
  </si>
  <si>
    <t>INFRAESTRUTURA URBANA - CICLOVIA E REVITALIZAÇÃO DE CANTEIRO CENTRAL</t>
  </si>
  <si>
    <t>mês</t>
  </si>
  <si>
    <t>und</t>
  </si>
  <si>
    <t>m³xKm</t>
  </si>
  <si>
    <t xml:space="preserve"> 98520 </t>
  </si>
  <si>
    <t>APLICAÇÃO DE ADUBO EM SOLO. AF_05/2018</t>
  </si>
  <si>
    <t>PLANTIO DE PALMEIRA COM ALTURA DE MUDA MENOR OU IGUAL A 2,00 M.</t>
  </si>
  <si>
    <t>COMPOSIÇÃO</t>
  </si>
  <si>
    <t>und.</t>
  </si>
  <si>
    <t>6.5</t>
  </si>
  <si>
    <t>6.6</t>
  </si>
  <si>
    <t>6.7</t>
  </si>
  <si>
    <t>6.8</t>
  </si>
  <si>
    <t>6.9</t>
  </si>
  <si>
    <t>6.10</t>
  </si>
  <si>
    <t>FOTOCELULA COM CONTACTORES PARA AUTOMACAO DE ILUMINACAO</t>
  </si>
  <si>
    <t>CABO DE COBRE FLEXÍVEL ISOLADO, 6 MM², ANTI-CHAMA 0,6/1,0 KV, PARA CIRCUITOS TERMINAIS - FORNECIMENTO E INSTALAÇÃO. AF_12/2015</t>
  </si>
  <si>
    <t>ELETRODUTO RÍGIDO ROSCÁVEL, PVC, DN 25 MM (3/4"), PARA CIRCUITOS TERMINAIS, INSTALADO EM LAJE - FORNECIMENTO E INSTALAÇÃO. AF_12/2015</t>
  </si>
  <si>
    <t>CURVA 90 GRAUS PARA ELETRODUTO, PVC, ROSCÁVEL, DN 40 MM (1 1/4"), PARA CIRCUITOS TERMINAIS, INSTALADA EM LAJE - FORNECIMENTO E INSTALAÇÃO. AF_12/2015</t>
  </si>
  <si>
    <t>REATERRO MANUAL APILOADO COM SOQUETE. AF_10/2017</t>
  </si>
  <si>
    <t>LUVA PARA ELETRODUTO, PVC, ROSCÁVEL, DN 85 MM (3"), PARA REDE ENTERRADA DE DISTRIBUIÇÃO DE ENERGIA ELÉTRICA - FORNECIMENTO E INSTALAÇÃO. AF_12/2021</t>
  </si>
  <si>
    <t>ESCAVAÇÃO MANUAL DE VALA COM PROFUNDIDADE MENOR OU IGUAL A 1,30 M. AF_02/2021</t>
  </si>
  <si>
    <t>LUMINÁRIA DE LED PARA ILUMINAÇÃO PÚBLICA, DE 181 W ATÉ 239 W - FORNECIMENTO E INSTALAÇÃO. AF_08/2020</t>
  </si>
  <si>
    <t>CAIXA ENTERRADA ELÉTRICA RETANGULAR, EM ALVENARIA COM TIJOLOS CERÂMICOS MACIÇOS, FUNDO COM BRITA, DIMENSÕES INTERNAS: 0,3X0,3X0,3 M. AF_12/2020</t>
  </si>
  <si>
    <t>BALIZADOR DE PISO, LUMINARIA LED 9W, CORPO EM ALUMÍNIO, REFLETOR EM ALUM. ANOD. C/ PROTETOR DE VIDRO EM GRADE DE ALUMÍNIO, FORNECIMENTO E INSTALAÇÃO</t>
  </si>
  <si>
    <t>6.11</t>
  </si>
  <si>
    <t>6.12</t>
  </si>
  <si>
    <t xml:space="preserve"> 22521-BCC</t>
  </si>
  <si>
    <t>98351-SIURB</t>
  </si>
  <si>
    <t>60641-SBC</t>
  </si>
  <si>
    <t>7.1</t>
  </si>
  <si>
    <t>PLANTIO DE ARBUSTO OU CERCA VIVA. AF_05/2018</t>
  </si>
  <si>
    <t>PLANTIO DE ÁRVORE ORNAMENTAL COM ALTURA DE MUDA MAIOR QUE 2,00 M E MENOR OU IGUAL A 4,00 M. AF_05/2018</t>
  </si>
  <si>
    <t>7.2</t>
  </si>
  <si>
    <t>7.3</t>
  </si>
  <si>
    <t>7.4</t>
  </si>
  <si>
    <t>TOTAL GERAL</t>
  </si>
  <si>
    <t>BDI C/ DERSONERAÇÃO</t>
  </si>
  <si>
    <t>PLANTIO DE GRAMA ESMERALDA OU SÃO CARLOS OU CURITIBANA, EM PLACAS. AF_05/2022</t>
  </si>
  <si>
    <t>7.5</t>
  </si>
  <si>
    <t>8.1</t>
  </si>
  <si>
    <t>8.2</t>
  </si>
  <si>
    <t>PINTURA DE PISO COM TINTA EPÓXI, APLICAÇÃO MANUAL, 2 DEMÃOS, INCLUSO PRIMER EPÓXI. AF_05/2021</t>
  </si>
  <si>
    <t>PINTURA DE EIXO VIÁRIO SOBRE ASFALTO COM TINTA RETRORREFLETIVA A BASE DE RESINA ACRÍLICA COM MICROESFERAS DE VIDRO, APLICAÇÃO MECÂNICA COM DEMARCADORA AUTOPROPELIDA. AF_05/2021</t>
  </si>
  <si>
    <t>ENTRADA  DE ENERGIA AÉREA E SAÍDA SUBTERRÂNEA, EM BAIXA TENSÃO, INCLUSIVE CAIXA DE MEDIÇÃO, DISJUNTOR, BARRAMENTO E ACESSÓRIOS, INSTALADO EM MURETA DE ALVENARIA (1 1/2)  MED. (2,20X2,20)M NA ESPECIFICAÇÃO TRIFÁSICO 225V, COM PROJETO E APROVAÇÃO JUNTO A CONCESSIONÁRIA ENERGISA E FORNECIMENTO DE ART DO PROFISSIONAL RESP.</t>
  </si>
  <si>
    <t xml:space="preserve"> 4.3</t>
  </si>
  <si>
    <t>GUIA (MEIO-FIO) CONCRETO, MOLDADA IN LOCO EM TRECHO RETO COM EXTRUSORA, 13 CM BASE X 22 CM ALTURA. AF_06/2016</t>
  </si>
  <si>
    <t>100623-ILUM</t>
  </si>
  <si>
    <t>001-ILUM</t>
  </si>
  <si>
    <t xml:space="preserve"> 99814 </t>
  </si>
  <si>
    <t>LIMPEZA DE SUPERFÍCIE COM JATO DE ALTA PRESSÃO. AF_04/2019</t>
  </si>
  <si>
    <t xml:space="preserve"> 74209/027 </t>
  </si>
  <si>
    <t>PLACA INAUGURACAO EM ALUMINIO 0,40X0,60M FORNECIMENTO E COLOCACAO</t>
  </si>
  <si>
    <t>UM</t>
  </si>
  <si>
    <t xml:space="preserve"> 5.4</t>
  </si>
  <si>
    <t>BANCO PARA JARDINS COM 14 RÉGUAS DE MADEIRA DE LEI, SEÇÃO DE 5,5 X 2,5CM E COMPRIMENTO DE 2,00M, PRESAS COM PARAFUSOS DE PORCA NOS PÉS DE FERRO FUNDIDO, ESTES COM 14KG, BARRA DE FERRO AO CENTRO DO ASSENTAMENTO, NCLUSIVE ESPIGÃO DE FIXAÇÃO, 4 BASES DE CONCRETO DE 15 X 15 X 30CM, E PINTURA NA COR A SER INDICADA</t>
  </si>
  <si>
    <t xml:space="preserve"> 5.5</t>
  </si>
  <si>
    <t xml:space="preserve">22520- ORSE </t>
  </si>
  <si>
    <t xml:space="preserve"> 001-PRO</t>
  </si>
  <si>
    <t>90 DIAS</t>
  </si>
  <si>
    <t>120  DIAS</t>
  </si>
  <si>
    <t>150 DIAS</t>
  </si>
  <si>
    <t>180 DIAS</t>
  </si>
  <si>
    <t>INFRAESTRUTURA URBANA - REFORMA E REVITALIZAÇÃO DE CANTEIRO CENTRAL</t>
  </si>
  <si>
    <t>1.0</t>
  </si>
  <si>
    <t>2.0</t>
  </si>
  <si>
    <t>3.0</t>
  </si>
  <si>
    <t>4.0</t>
  </si>
  <si>
    <t>5.0</t>
  </si>
  <si>
    <t>6.0</t>
  </si>
  <si>
    <t>7.0</t>
  </si>
  <si>
    <t>8.0</t>
  </si>
  <si>
    <t>INSTALAÇÃO DE LIXEIRA METÁLICA, CAPACIDADE DE 60 L, EM TUBO DE AÇO E CESTOS EM AÇO COM PINTURA ELETROSTÁTICA, SOBRE PISO DE CONCRETO EXISTENTE. AF_11/2021</t>
  </si>
  <si>
    <t>002-PRO</t>
  </si>
  <si>
    <t>003-PRO</t>
  </si>
  <si>
    <t>TRANSPORTE COM CAMINHÃO CARROCERIA 9T, EM VIA URBANA PAVIMENTADA, DMT ATÉ 30KM (UNIDADE: TXKM). AF_07/2020</t>
  </si>
  <si>
    <t>TRANSPORTE COM CAMINHÃO CARROCERIA 9T, EM VIA URBANA PAVIMENTADA, ADICIONAL PARA DMT EXCEDENTE A 30 KM (UNIDADE: TXKM). AF_07/2020</t>
  </si>
  <si>
    <t>TxKm</t>
  </si>
  <si>
    <t>SERVIÇOS COMPLEMENTARES</t>
  </si>
  <si>
    <t>9.1</t>
  </si>
  <si>
    <t>9.2</t>
  </si>
  <si>
    <t>9.3</t>
  </si>
  <si>
    <t>9.4</t>
  </si>
  <si>
    <t>DEMOLIÇÃO PARCIAL DE PAVIMENTO ASFÁLTICO, DE FORMA MECANIZADA, SEM REAPROVEITAMENTO. AF_12/2017</t>
  </si>
  <si>
    <t>9.5</t>
  </si>
  <si>
    <t>POSTE CONICO CONTINUO EM ACO GALVANIZADO, CURVO, BRACO DUPLO, ENGASTADO, H=6M, DIAMETRO INFERIOR = *135* MM, FORNECIMENTO E INSTALAÇÃO, EXCLUSIVE LUMINÁRIA</t>
  </si>
  <si>
    <t>SINALIZAÇÃO / PINTURA</t>
  </si>
  <si>
    <t xml:space="preserve"> 5.2</t>
  </si>
  <si>
    <t xml:space="preserve"> 5.3</t>
  </si>
  <si>
    <t xml:space="preserve"> 5.6</t>
  </si>
  <si>
    <t xml:space="preserve"> 5.7</t>
  </si>
  <si>
    <t>PINTURA IMUNIZANTE PARA MADEIRA, 1 DEMÃO. AF_01/2021</t>
  </si>
  <si>
    <t>PINTURA VERNIZ (INCOLOR) ALQUÍDICO EM MADEIRA, USO INTERNO E EXTERNO, 1 DEMÃO. AF_01/2021</t>
  </si>
  <si>
    <t>SINAPI - 05/2022 - MS</t>
  </si>
  <si>
    <t>ÁREA</t>
  </si>
  <si>
    <t>RUA AQUIDABAN - SIDROLÂNDIA/MS</t>
  </si>
  <si>
    <t>= 15 DIAS X 6 MESES X 1H/DIA</t>
  </si>
  <si>
    <t>= 24 DIAS X 6 MESES X 2H/DIA</t>
  </si>
  <si>
    <t>= 10 DIAS X 4H/DIA</t>
  </si>
  <si>
    <t>CONFORME MEMORIAL</t>
  </si>
  <si>
    <t>= 6 MESES</t>
  </si>
  <si>
    <t>= 4 X 2M</t>
  </si>
  <si>
    <t>= CONFORME PROJETO DE ILUMIN.</t>
  </si>
  <si>
    <t>= CONFORME PROJETO DE PAISAGISMO</t>
  </si>
  <si>
    <t>= TRANSP. DE MATERIAL ILUM. PÚBLICA</t>
  </si>
  <si>
    <t>= MATERIAL DE ENTULHO</t>
  </si>
  <si>
    <t>= CONFORME MODELO ADMINIST.</t>
  </si>
  <si>
    <t>= RAMPAS DE ACESSO AO CANTEIRO CENTRAL</t>
  </si>
  <si>
    <t>MEMÓRIA DE CÁLCULO</t>
  </si>
  <si>
    <t>CANTEIRO 10</t>
  </si>
  <si>
    <t>CANTEIRO</t>
  </si>
  <si>
    <t>ÁREA (m²)</t>
  </si>
  <si>
    <t>RETIRADA DE CAMADA VEGETAL</t>
  </si>
  <si>
    <t>DEMOLIÇÃO DE PAVIMENTO</t>
  </si>
  <si>
    <t>ROTARÓRIA</t>
  </si>
  <si>
    <t>TOTAL:</t>
  </si>
  <si>
    <t>PERGOLADOS</t>
  </si>
  <si>
    <t>ÁREA DE CONV.</t>
  </si>
  <si>
    <t>LOCAL</t>
  </si>
  <si>
    <t>PAVIM.  PISTA CICLISMO</t>
  </si>
  <si>
    <t>PAVIM. INTERTRAVADO</t>
  </si>
  <si>
    <t>CANTEIROS 1-9</t>
  </si>
  <si>
    <t>ROT. CENTRAL</t>
  </si>
  <si>
    <t>ROTATÓRIA 1-2</t>
  </si>
  <si>
    <t>PINTURA  / SINALIZAÇÃO</t>
  </si>
  <si>
    <t>TRAV. ASF.</t>
  </si>
  <si>
    <t>PINTURA DE FAIXA CONTÍNUA SOBRE ASFALTO COM TINTA RETRORREFLETIVA A BASE DE RESINA ACRÍLICA COM MICROESFERAS DE VIDRO, APLICAÇÃO MECÂNICA COM DEMARCADORA AUTOPROPELIDA. AF_05/2021</t>
  </si>
  <si>
    <t>EXTENS. (M)</t>
  </si>
  <si>
    <t>= CONFORME M.C. 1</t>
  </si>
  <si>
    <t>= GUIAS PROLONG. CANTEIRO CENTRAL</t>
  </si>
  <si>
    <t>= 2 UND / CANTEIRO</t>
  </si>
  <si>
    <t>= 22M² / PERG. X 7UND</t>
  </si>
  <si>
    <t>= 4 UND. / PERGOLADO</t>
  </si>
  <si>
    <t>= PERGOLADOS E BANCOS DE MADEIRA</t>
  </si>
  <si>
    <t>= 7,5 M X 10 UND</t>
  </si>
  <si>
    <t>= ÁREA TOTAL DA PISTA + INTERTRAVADOS</t>
  </si>
  <si>
    <t>Memorial</t>
  </si>
  <si>
    <t>FAIXA CONTÍNUA DUPLA</t>
  </si>
  <si>
    <t>BDI C/ DES.</t>
  </si>
  <si>
    <t xml:space="preserve"> 5.8</t>
  </si>
  <si>
    <t>2.002,30m²</t>
  </si>
  <si>
    <t>_______________________________________________________________
Wanessa Basso
Engª Civil - CREA/MS - 8605/D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</si>
</sst>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\ %"/>
    <numFmt numFmtId="166" formatCode="0.0%"/>
  </numFmts>
  <fonts count="47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b/>
      <sz val="14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4" tint="-0.249977111117893"/>
      <name val="Arial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</cellStyleXfs>
  <cellXfs count="344">
    <xf numFmtId="0" fontId="0" fillId="0" borderId="0" xfId="0"/>
    <xf numFmtId="0" fontId="0" fillId="0" borderId="0" xfId="0" applyFill="1"/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18" fillId="0" borderId="0" xfId="2" applyFont="1" applyFill="1" applyAlignment="1">
      <alignment horizontal="center" vertical="center" wrapText="1"/>
    </xf>
    <xf numFmtId="164" fontId="0" fillId="0" borderId="0" xfId="2" applyFont="1" applyFill="1" applyAlignment="1">
      <alignment vertical="center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2" fillId="0" borderId="5" xfId="0" applyFont="1" applyBorder="1" applyAlignment="1">
      <alignment horizontal="center" vertical="center" wrapText="1"/>
    </xf>
    <xf numFmtId="9" fontId="22" fillId="0" borderId="6" xfId="3" applyNumberFormat="1" applyFont="1" applyBorder="1" applyAlignment="1" applyProtection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164" fontId="22" fillId="3" borderId="23" xfId="2" applyFont="1" applyFill="1" applyBorder="1" applyAlignment="1" applyProtection="1">
      <alignment horizontal="center" vertical="center"/>
    </xf>
    <xf numFmtId="9" fontId="22" fillId="3" borderId="23" xfId="4" applyFont="1" applyFill="1" applyBorder="1" applyAlignment="1" applyProtection="1">
      <alignment horizontal="center" vertical="center"/>
    </xf>
    <xf numFmtId="9" fontId="22" fillId="3" borderId="23" xfId="3" applyNumberFormat="1" applyFont="1" applyFill="1" applyBorder="1" applyAlignment="1" applyProtection="1">
      <alignment horizontal="center" vertical="center"/>
    </xf>
    <xf numFmtId="164" fontId="22" fillId="3" borderId="24" xfId="2" applyFont="1" applyFill="1" applyBorder="1" applyAlignment="1" applyProtection="1">
      <alignment horizontal="center" vertical="center"/>
    </xf>
    <xf numFmtId="0" fontId="22" fillId="0" borderId="25" xfId="0" applyFont="1" applyBorder="1" applyAlignment="1">
      <alignment horizontal="center" vertical="center"/>
    </xf>
    <xf numFmtId="164" fontId="30" fillId="0" borderId="13" xfId="0" applyNumberFormat="1" applyFont="1" applyBorder="1"/>
    <xf numFmtId="10" fontId="0" fillId="0" borderId="13" xfId="4" applyNumberFormat="1" applyFont="1" applyBorder="1" applyAlignment="1" applyProtection="1">
      <alignment horizontal="center" vertical="center"/>
    </xf>
    <xf numFmtId="164" fontId="31" fillId="0" borderId="14" xfId="2" applyFont="1" applyBorder="1" applyAlignment="1" applyProtection="1">
      <alignment horizontal="center"/>
    </xf>
    <xf numFmtId="164" fontId="0" fillId="0" borderId="0" xfId="0" applyNumberFormat="1" applyProtection="1">
      <protection locked="0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/>
    <xf numFmtId="0" fontId="32" fillId="0" borderId="6" xfId="0" applyFont="1" applyBorder="1"/>
    <xf numFmtId="0" fontId="0" fillId="0" borderId="6" xfId="1" applyNumberFormat="1" applyFont="1" applyBorder="1" applyAlignment="1" applyProtection="1">
      <alignment horizontal="center" vertical="center"/>
    </xf>
    <xf numFmtId="164" fontId="31" fillId="0" borderId="7" xfId="2" applyFont="1" applyBorder="1" applyAlignment="1" applyProtection="1">
      <alignment horizontal="center"/>
    </xf>
    <xf numFmtId="0" fontId="22" fillId="0" borderId="6" xfId="0" applyFont="1" applyBorder="1" applyAlignment="1">
      <alignment horizontal="left" vertical="center"/>
    </xf>
    <xf numFmtId="164" fontId="32" fillId="0" borderId="6" xfId="0" applyNumberFormat="1" applyFont="1" applyBorder="1"/>
    <xf numFmtId="0" fontId="31" fillId="0" borderId="8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164" fontId="24" fillId="0" borderId="6" xfId="0" applyNumberFormat="1" applyFont="1" applyFill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164" fontId="24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164" fontId="23" fillId="0" borderId="10" xfId="2" applyFont="1" applyBorder="1" applyAlignment="1" applyProtection="1">
      <alignment horizontal="center" vertical="center"/>
    </xf>
    <xf numFmtId="0" fontId="22" fillId="0" borderId="15" xfId="0" applyFont="1" applyBorder="1" applyAlignment="1"/>
    <xf numFmtId="0" fontId="22" fillId="0" borderId="16" xfId="0" applyFont="1" applyBorder="1" applyAlignment="1"/>
    <xf numFmtId="10" fontId="22" fillId="0" borderId="16" xfId="0" applyNumberFormat="1" applyFont="1" applyBorder="1" applyAlignment="1"/>
    <xf numFmtId="164" fontId="31" fillId="0" borderId="16" xfId="2" applyFont="1" applyFill="1" applyBorder="1" applyAlignment="1" applyProtection="1">
      <alignment horizontal="center"/>
    </xf>
    <xf numFmtId="10" fontId="31" fillId="0" borderId="16" xfId="4" applyNumberFormat="1" applyFont="1" applyFill="1" applyBorder="1" applyAlignment="1" applyProtection="1">
      <alignment horizontal="center"/>
    </xf>
    <xf numFmtId="164" fontId="31" fillId="0" borderId="19" xfId="2" applyFont="1" applyBorder="1" applyAlignment="1" applyProtection="1">
      <alignment horizontal="center"/>
    </xf>
    <xf numFmtId="0" fontId="22" fillId="0" borderId="22" xfId="0" applyFont="1" applyBorder="1" applyAlignment="1"/>
    <xf numFmtId="0" fontId="22" fillId="0" borderId="23" xfId="0" applyFont="1" applyBorder="1" applyAlignment="1"/>
    <xf numFmtId="164" fontId="22" fillId="0" borderId="23" xfId="0" applyNumberFormat="1" applyFont="1" applyBorder="1" applyAlignment="1"/>
    <xf numFmtId="10" fontId="22" fillId="0" borderId="23" xfId="0" applyNumberFormat="1" applyFont="1" applyBorder="1" applyAlignment="1"/>
    <xf numFmtId="164" fontId="31" fillId="0" borderId="23" xfId="2" applyFont="1" applyFill="1" applyBorder="1" applyAlignment="1" applyProtection="1">
      <alignment horizontal="center"/>
    </xf>
    <xf numFmtId="10" fontId="31" fillId="0" borderId="23" xfId="4" applyNumberFormat="1" applyFont="1" applyFill="1" applyBorder="1" applyAlignment="1" applyProtection="1">
      <alignment horizontal="center"/>
    </xf>
    <xf numFmtId="164" fontId="31" fillId="0" borderId="24" xfId="2" applyFont="1" applyBorder="1" applyAlignment="1" applyProtection="1">
      <alignment horizontal="center"/>
    </xf>
    <xf numFmtId="164" fontId="0" fillId="0" borderId="0" xfId="2" applyFont="1" applyAlignment="1" applyProtection="1">
      <alignment horizontal="center"/>
      <protection locked="0"/>
    </xf>
    <xf numFmtId="9" fontId="0" fillId="0" borderId="0" xfId="4" applyFont="1" applyAlignment="1" applyProtection="1">
      <alignment horizontal="center"/>
      <protection locked="0"/>
    </xf>
    <xf numFmtId="9" fontId="0" fillId="0" borderId="0" xfId="3" applyNumberFormat="1" applyFont="1" applyAlignment="1" applyProtection="1">
      <alignment horizontal="center"/>
      <protection locked="0"/>
    </xf>
    <xf numFmtId="10" fontId="35" fillId="7" borderId="7" xfId="4" applyNumberFormat="1" applyFont="1" applyFill="1" applyBorder="1" applyAlignment="1" applyProtection="1">
      <alignment horizontal="center" vertical="center"/>
      <protection locked="0"/>
    </xf>
    <xf numFmtId="10" fontId="34" fillId="7" borderId="7" xfId="5" applyNumberFormat="1" applyFont="1" applyFill="1" applyBorder="1" applyAlignment="1" applyProtection="1">
      <alignment horizontal="center" vertical="center"/>
      <protection locked="0"/>
    </xf>
    <xf numFmtId="10" fontId="34" fillId="7" borderId="7" xfId="4" applyNumberFormat="1" applyFont="1" applyFill="1" applyBorder="1" applyAlignment="1" applyProtection="1">
      <alignment horizontal="center" vertical="center"/>
      <protection locked="0"/>
    </xf>
    <xf numFmtId="10" fontId="36" fillId="0" borderId="7" xfId="4" applyNumberFormat="1" applyFont="1" applyFill="1" applyBorder="1" applyAlignment="1" applyProtection="1">
      <alignment horizontal="center" vertical="center"/>
    </xf>
    <xf numFmtId="0" fontId="22" fillId="0" borderId="5" xfId="0" applyFont="1" applyBorder="1" applyProtection="1"/>
    <xf numFmtId="0" fontId="22" fillId="0" borderId="7" xfId="0" applyFont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34" fillId="0" borderId="5" xfId="5" applyFont="1" applyBorder="1" applyAlignment="1" applyProtection="1">
      <alignment horizontal="center" vertical="center"/>
    </xf>
    <xf numFmtId="10" fontId="34" fillId="0" borderId="7" xfId="5" applyNumberFormat="1" applyFont="1" applyBorder="1" applyAlignment="1" applyProtection="1">
      <alignment vertical="center"/>
    </xf>
    <xf numFmtId="0" fontId="21" fillId="6" borderId="5" xfId="0" applyFont="1" applyFill="1" applyBorder="1" applyAlignment="1" applyProtection="1">
      <alignment horizontal="center" vertical="center" wrapText="1"/>
    </xf>
    <xf numFmtId="10" fontId="36" fillId="0" borderId="7" xfId="5" applyNumberFormat="1" applyFont="1" applyFill="1" applyBorder="1" applyAlignment="1" applyProtection="1">
      <alignment horizontal="center" vertical="center"/>
    </xf>
    <xf numFmtId="0" fontId="36" fillId="0" borderId="27" xfId="5" applyFont="1" applyBorder="1" applyAlignment="1" applyProtection="1">
      <alignment vertical="center"/>
    </xf>
    <xf numFmtId="0" fontId="30" fillId="0" borderId="44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0" fontId="30" fillId="0" borderId="45" xfId="0" applyFont="1" applyBorder="1" applyAlignment="1" applyProtection="1">
      <alignment horizontal="center"/>
    </xf>
    <xf numFmtId="0" fontId="0" fillId="0" borderId="0" xfId="0" applyFill="1" applyAlignment="1">
      <alignment horizontal="right" vertical="center"/>
    </xf>
    <xf numFmtId="0" fontId="18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10" fillId="0" borderId="6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13" fillId="0" borderId="6" xfId="2" applyFont="1" applyFill="1" applyBorder="1" applyAlignment="1">
      <alignment horizontal="right" vertical="center" wrapText="1"/>
    </xf>
    <xf numFmtId="165" fontId="14" fillId="0" borderId="6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left" vertical="center" wrapText="1"/>
    </xf>
    <xf numFmtId="164" fontId="17" fillId="0" borderId="6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64" fontId="5" fillId="3" borderId="6" xfId="2" applyFont="1" applyFill="1" applyBorder="1" applyAlignment="1">
      <alignment horizontal="center" vertical="center" wrapText="1"/>
    </xf>
    <xf numFmtId="4" fontId="0" fillId="0" borderId="0" xfId="0" applyNumberFormat="1" applyFill="1"/>
    <xf numFmtId="0" fontId="6" fillId="8" borderId="6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164" fontId="6" fillId="8" borderId="6" xfId="2" applyFont="1" applyFill="1" applyBorder="1" applyAlignment="1">
      <alignment horizontal="left" vertical="center" wrapText="1"/>
    </xf>
    <xf numFmtId="164" fontId="8" fillId="8" borderId="6" xfId="2" applyFont="1" applyFill="1" applyBorder="1" applyAlignment="1">
      <alignment horizontal="right" vertical="center" wrapText="1"/>
    </xf>
    <xf numFmtId="165" fontId="9" fillId="8" borderId="6" xfId="0" applyNumberFormat="1" applyFont="1" applyFill="1" applyBorder="1" applyAlignment="1">
      <alignment horizontal="right" vertical="center" wrapText="1"/>
    </xf>
    <xf numFmtId="164" fontId="13" fillId="8" borderId="6" xfId="2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/>
    </xf>
    <xf numFmtId="0" fontId="0" fillId="0" borderId="49" xfId="0" applyFill="1" applyBorder="1" applyAlignment="1">
      <alignment vertical="center"/>
    </xf>
    <xf numFmtId="0" fontId="0" fillId="0" borderId="49" xfId="0" applyFill="1" applyBorder="1" applyAlignment="1">
      <alignment horizontal="right" vertical="center"/>
    </xf>
    <xf numFmtId="0" fontId="0" fillId="0" borderId="5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20" xfId="0" applyFill="1" applyBorder="1" applyAlignment="1">
      <alignment horizontal="left" vertical="center"/>
    </xf>
    <xf numFmtId="0" fontId="0" fillId="0" borderId="48" xfId="0" applyFill="1" applyBorder="1" applyAlignment="1">
      <alignment vertical="center"/>
    </xf>
    <xf numFmtId="0" fontId="10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43" fillId="0" borderId="6" xfId="0" applyFont="1" applyFill="1" applyBorder="1" applyAlignment="1">
      <alignment horizontal="left" vertical="center" wrapText="1"/>
    </xf>
    <xf numFmtId="0" fontId="43" fillId="0" borderId="6" xfId="0" applyFont="1" applyFill="1" applyBorder="1" applyAlignment="1">
      <alignment horizontal="right" vertical="center" wrapText="1"/>
    </xf>
    <xf numFmtId="164" fontId="43" fillId="0" borderId="6" xfId="2" applyFont="1" applyFill="1" applyBorder="1" applyAlignment="1">
      <alignment horizontal="left" vertical="center" wrapText="1"/>
    </xf>
    <xf numFmtId="164" fontId="43" fillId="0" borderId="6" xfId="2" applyFont="1" applyFill="1" applyBorder="1" applyAlignment="1">
      <alignment horizontal="right" vertical="center" wrapText="1"/>
    </xf>
    <xf numFmtId="165" fontId="43" fillId="0" borderId="6" xfId="0" applyNumberFormat="1" applyFont="1" applyFill="1" applyBorder="1" applyAlignment="1">
      <alignment horizontal="right" vertical="center" wrapText="1"/>
    </xf>
    <xf numFmtId="0" fontId="31" fillId="0" borderId="0" xfId="0" applyFont="1" applyFill="1"/>
    <xf numFmtId="0" fontId="43" fillId="0" borderId="6" xfId="0" applyFont="1" applyFill="1" applyBorder="1" applyAlignment="1">
      <alignment horizontal="center" vertical="center" wrapText="1"/>
    </xf>
    <xf numFmtId="0" fontId="44" fillId="8" borderId="6" xfId="0" applyFont="1" applyFill="1" applyBorder="1" applyAlignment="1">
      <alignment horizontal="right" vertical="center" wrapText="1"/>
    </xf>
    <xf numFmtId="0" fontId="44" fillId="8" borderId="6" xfId="0" applyFont="1" applyFill="1" applyBorder="1" applyAlignment="1">
      <alignment horizontal="left" vertical="center" wrapText="1"/>
    </xf>
    <xf numFmtId="164" fontId="44" fillId="8" borderId="6" xfId="2" applyFont="1" applyFill="1" applyBorder="1" applyAlignment="1">
      <alignment horizontal="left" vertical="center" wrapText="1"/>
    </xf>
    <xf numFmtId="165" fontId="44" fillId="8" borderId="6" xfId="0" applyNumberFormat="1" applyFont="1" applyFill="1" applyBorder="1" applyAlignment="1">
      <alignment horizontal="right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0" fontId="44" fillId="8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31" fillId="0" borderId="0" xfId="0" applyFont="1" applyFill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4" fontId="5" fillId="3" borderId="6" xfId="0" applyNumberFormat="1" applyFont="1" applyFill="1" applyBorder="1" applyAlignment="1">
      <alignment horizontal="center" vertical="center" wrapText="1"/>
    </xf>
    <xf numFmtId="4" fontId="7" fillId="8" borderId="6" xfId="0" applyNumberFormat="1" applyFont="1" applyFill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4" fontId="16" fillId="0" borderId="6" xfId="0" applyNumberFormat="1" applyFont="1" applyFill="1" applyBorder="1" applyAlignment="1">
      <alignment horizontal="right" vertical="center" wrapText="1"/>
    </xf>
    <xf numFmtId="4" fontId="43" fillId="0" borderId="6" xfId="0" applyNumberFormat="1" applyFont="1" applyFill="1" applyBorder="1" applyAlignment="1">
      <alignment horizontal="right" vertical="center" wrapText="1"/>
    </xf>
    <xf numFmtId="4" fontId="44" fillId="8" borderId="6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164" fontId="0" fillId="0" borderId="0" xfId="0" applyNumberFormat="1" applyFill="1"/>
    <xf numFmtId="164" fontId="31" fillId="0" borderId="0" xfId="0" applyNumberFormat="1" applyFont="1" applyFill="1"/>
    <xf numFmtId="0" fontId="0" fillId="0" borderId="0" xfId="0" applyFill="1" applyAlignment="1">
      <alignment vertical="center"/>
    </xf>
    <xf numFmtId="0" fontId="19" fillId="0" borderId="13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9" borderId="6" xfId="0" applyFont="1" applyFill="1" applyBorder="1" applyAlignment="1">
      <alignment horizontal="right" vertical="center" wrapText="1"/>
    </xf>
    <xf numFmtId="0" fontId="10" fillId="9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19" fillId="0" borderId="13" xfId="0" applyFont="1" applyBorder="1" applyAlignment="1">
      <alignment horizontal="right" vertical="center"/>
    </xf>
    <xf numFmtId="164" fontId="31" fillId="0" borderId="13" xfId="2" applyFont="1" applyFill="1" applyBorder="1" applyAlignment="1" applyProtection="1">
      <alignment horizontal="center"/>
    </xf>
    <xf numFmtId="9" fontId="31" fillId="0" borderId="13" xfId="4" applyFont="1" applyFill="1" applyBorder="1" applyAlignment="1" applyProtection="1">
      <alignment horizontal="center"/>
    </xf>
    <xf numFmtId="164" fontId="31" fillId="0" borderId="6" xfId="2" applyFont="1" applyFill="1" applyBorder="1" applyAlignment="1" applyProtection="1">
      <alignment horizontal="center"/>
    </xf>
    <xf numFmtId="9" fontId="31" fillId="0" borderId="6" xfId="4" applyFont="1" applyFill="1" applyBorder="1" applyAlignment="1" applyProtection="1">
      <alignment horizontal="center"/>
    </xf>
    <xf numFmtId="0" fontId="31" fillId="0" borderId="26" xfId="0" applyFont="1" applyFill="1" applyBorder="1" applyAlignment="1">
      <alignment horizontal="center"/>
    </xf>
    <xf numFmtId="2" fontId="0" fillId="0" borderId="0" xfId="4" applyNumberFormat="1" applyFont="1" applyAlignment="1" applyProtection="1">
      <alignment horizontal="center"/>
      <protection locked="0"/>
    </xf>
    <xf numFmtId="164" fontId="32" fillId="0" borderId="13" xfId="0" applyNumberFormat="1" applyFont="1" applyBorder="1"/>
    <xf numFmtId="166" fontId="31" fillId="0" borderId="13" xfId="4" applyNumberFormat="1" applyFont="1" applyFill="1" applyBorder="1" applyAlignment="1" applyProtection="1">
      <alignment horizontal="center"/>
    </xf>
    <xf numFmtId="166" fontId="0" fillId="0" borderId="0" xfId="0" applyNumberFormat="1" applyProtection="1">
      <protection locked="0"/>
    </xf>
    <xf numFmtId="0" fontId="29" fillId="0" borderId="6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right" vertical="center" wrapText="1"/>
    </xf>
    <xf numFmtId="166" fontId="31" fillId="0" borderId="13" xfId="3" applyNumberFormat="1" applyFont="1" applyFill="1" applyBorder="1" applyAlignment="1" applyProtection="1">
      <alignment horizontal="center"/>
    </xf>
    <xf numFmtId="164" fontId="46" fillId="0" borderId="16" xfId="0" applyNumberFormat="1" applyFont="1" applyBorder="1" applyAlignment="1"/>
    <xf numFmtId="166" fontId="31" fillId="0" borderId="6" xfId="4" applyNumberFormat="1" applyFont="1" applyFill="1" applyBorder="1" applyAlignment="1" applyProtection="1">
      <alignment horizontal="center"/>
    </xf>
    <xf numFmtId="164" fontId="22" fillId="0" borderId="7" xfId="2" applyFont="1" applyBorder="1" applyAlignment="1" applyProtection="1">
      <alignment horizontal="center" vertical="center" wrapText="1"/>
    </xf>
    <xf numFmtId="49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31" fillId="0" borderId="0" xfId="0" applyNumberFormat="1" applyFont="1" applyFill="1" applyAlignment="1">
      <alignment vertical="center"/>
    </xf>
    <xf numFmtId="0" fontId="10" fillId="0" borderId="53" xfId="0" applyFont="1" applyFill="1" applyBorder="1" applyAlignment="1">
      <alignment horizontal="right" vertical="center" wrapText="1"/>
    </xf>
    <xf numFmtId="49" fontId="0" fillId="0" borderId="6" xfId="0" applyNumberFormat="1" applyFill="1" applyBorder="1" applyAlignment="1">
      <alignment vertical="center"/>
    </xf>
    <xf numFmtId="49" fontId="31" fillId="0" borderId="6" xfId="0" applyNumberFormat="1" applyFont="1" applyFill="1" applyBorder="1" applyAlignment="1">
      <alignment vertical="center"/>
    </xf>
    <xf numFmtId="0" fontId="19" fillId="0" borderId="57" xfId="0" applyFont="1" applyFill="1" applyBorder="1" applyAlignment="1">
      <alignment horizontal="left" vertical="center"/>
    </xf>
    <xf numFmtId="0" fontId="19" fillId="0" borderId="58" xfId="0" applyFont="1" applyBorder="1"/>
    <xf numFmtId="0" fontId="19" fillId="0" borderId="59" xfId="0" applyFont="1" applyBorder="1"/>
    <xf numFmtId="0" fontId="19" fillId="0" borderId="0" xfId="0" applyFont="1"/>
    <xf numFmtId="0" fontId="19" fillId="0" borderId="1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5" xfId="0" applyFont="1" applyBorder="1"/>
    <xf numFmtId="0" fontId="18" fillId="0" borderId="22" xfId="0" applyFont="1" applyBorder="1"/>
    <xf numFmtId="0" fontId="19" fillId="0" borderId="6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" fontId="18" fillId="0" borderId="23" xfId="0" applyNumberFormat="1" applyFont="1" applyBorder="1" applyAlignment="1">
      <alignment horizontal="right"/>
    </xf>
    <xf numFmtId="4" fontId="19" fillId="0" borderId="8" xfId="0" applyNumberFormat="1" applyFont="1" applyBorder="1"/>
    <xf numFmtId="4" fontId="30" fillId="0" borderId="8" xfId="0" applyNumberFormat="1" applyFont="1" applyBorder="1"/>
    <xf numFmtId="4" fontId="19" fillId="0" borderId="7" xfId="0" applyNumberFormat="1" applyFont="1" applyBorder="1"/>
    <xf numFmtId="4" fontId="19" fillId="0" borderId="7" xfId="0" applyNumberFormat="1" applyFont="1" applyBorder="1" applyAlignment="1">
      <alignment horizontal="right"/>
    </xf>
    <xf numFmtId="4" fontId="18" fillId="0" borderId="24" xfId="0" applyNumberFormat="1" applyFont="1" applyBorder="1" applyAlignment="1">
      <alignment horizontal="right"/>
    </xf>
    <xf numFmtId="4" fontId="0" fillId="0" borderId="0" xfId="0" applyNumberFormat="1"/>
    <xf numFmtId="0" fontId="19" fillId="0" borderId="64" xfId="0" applyFont="1" applyBorder="1" applyAlignment="1">
      <alignment horizontal="center" vertical="center"/>
    </xf>
    <xf numFmtId="0" fontId="19" fillId="0" borderId="26" xfId="0" applyFont="1" applyBorder="1"/>
    <xf numFmtId="0" fontId="30" fillId="0" borderId="26" xfId="0" applyFont="1" applyBorder="1"/>
    <xf numFmtId="0" fontId="18" fillId="0" borderId="65" xfId="0" applyFont="1" applyBorder="1"/>
    <xf numFmtId="0" fontId="19" fillId="0" borderId="19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0" fontId="0" fillId="0" borderId="44" xfId="0" applyFill="1" applyBorder="1" applyAlignment="1">
      <alignment horizontal="left" vertical="center"/>
    </xf>
    <xf numFmtId="49" fontId="0" fillId="0" borderId="45" xfId="0" applyNumberFormat="1" applyFill="1" applyBorder="1" applyAlignment="1">
      <alignment vertical="center"/>
    </xf>
    <xf numFmtId="0" fontId="0" fillId="0" borderId="60" xfId="0" applyFill="1" applyBorder="1" applyAlignment="1">
      <alignment horizontal="left" vertical="center"/>
    </xf>
    <xf numFmtId="0" fontId="0" fillId="0" borderId="61" xfId="0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4" fontId="0" fillId="0" borderId="61" xfId="0" applyNumberFormat="1" applyFill="1" applyBorder="1" applyAlignment="1">
      <alignment vertical="center"/>
    </xf>
    <xf numFmtId="49" fontId="0" fillId="0" borderId="62" xfId="0" applyNumberForma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5" fillId="3" borderId="11" xfId="2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right" vertical="center" wrapText="1"/>
    </xf>
    <xf numFmtId="164" fontId="13" fillId="0" borderId="13" xfId="2" applyFont="1" applyFill="1" applyBorder="1" applyAlignment="1">
      <alignment horizontal="right" vertical="center" wrapText="1"/>
    </xf>
    <xf numFmtId="165" fontId="14" fillId="0" borderId="13" xfId="0" applyNumberFormat="1" applyFont="1" applyFill="1" applyBorder="1" applyAlignment="1">
      <alignment horizontal="right" vertical="center" wrapText="1"/>
    </xf>
    <xf numFmtId="49" fontId="0" fillId="0" borderId="13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49" fontId="32" fillId="3" borderId="29" xfId="0" applyNumberFormat="1" applyFont="1" applyFill="1" applyBorder="1" applyAlignment="1">
      <alignment horizontal="center" vertical="center"/>
    </xf>
    <xf numFmtId="10" fontId="19" fillId="0" borderId="11" xfId="3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164" fontId="18" fillId="0" borderId="16" xfId="2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/>
    </xf>
    <xf numFmtId="4" fontId="0" fillId="0" borderId="48" xfId="0" applyNumberFormat="1" applyFill="1" applyBorder="1" applyAlignment="1">
      <alignment vertic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/>
    </xf>
    <xf numFmtId="164" fontId="32" fillId="0" borderId="0" xfId="2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0" fontId="0" fillId="0" borderId="0" xfId="3" applyNumberFormat="1" applyFont="1" applyFill="1" applyBorder="1" applyAlignment="1">
      <alignment horizontal="center" vertical="center"/>
    </xf>
    <xf numFmtId="10" fontId="0" fillId="0" borderId="61" xfId="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9" fillId="0" borderId="57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4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51" xfId="0" applyFont="1" applyFill="1" applyBorder="1" applyAlignment="1">
      <alignment horizontal="left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/>
    </xf>
    <xf numFmtId="0" fontId="42" fillId="0" borderId="55" xfId="0" applyFont="1" applyFill="1" applyBorder="1" applyAlignment="1">
      <alignment horizontal="center"/>
    </xf>
    <xf numFmtId="0" fontId="42" fillId="0" borderId="56" xfId="0" applyFont="1" applyFill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7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32" fillId="0" borderId="6" xfId="0" applyFont="1" applyFill="1" applyBorder="1" applyAlignment="1">
      <alignment horizontal="center" vertical="center"/>
    </xf>
    <xf numFmtId="164" fontId="32" fillId="0" borderId="6" xfId="2" applyFont="1" applyFill="1" applyBorder="1" applyAlignment="1">
      <alignment horizontal="center" vertical="center"/>
    </xf>
    <xf numFmtId="10" fontId="0" fillId="0" borderId="6" xfId="3" applyNumberFormat="1" applyFont="1" applyFill="1" applyBorder="1" applyAlignment="1">
      <alignment horizontal="center" vertical="center"/>
    </xf>
    <xf numFmtId="164" fontId="45" fillId="0" borderId="8" xfId="2" applyFont="1" applyFill="1" applyBorder="1" applyAlignment="1">
      <alignment horizontal="right" vertical="center" wrapText="1"/>
    </xf>
    <xf numFmtId="164" fontId="45" fillId="0" borderId="9" xfId="2" applyFont="1" applyFill="1" applyBorder="1" applyAlignment="1">
      <alignment horizontal="right" vertical="center" wrapText="1"/>
    </xf>
    <xf numFmtId="164" fontId="45" fillId="0" borderId="26" xfId="2" applyFont="1" applyFill="1" applyBorder="1" applyAlignment="1">
      <alignment horizontal="right" vertical="center" wrapText="1"/>
    </xf>
    <xf numFmtId="0" fontId="45" fillId="0" borderId="8" xfId="0" applyFont="1" applyFill="1" applyBorder="1" applyAlignment="1">
      <alignment horizontal="right" vertical="center" wrapText="1"/>
    </xf>
    <xf numFmtId="0" fontId="45" fillId="0" borderId="9" xfId="0" applyFont="1" applyFill="1" applyBorder="1" applyAlignment="1">
      <alignment horizontal="right" vertical="center" wrapText="1"/>
    </xf>
    <xf numFmtId="0" fontId="45" fillId="0" borderId="26" xfId="0" applyFont="1" applyFill="1" applyBorder="1" applyAlignment="1">
      <alignment horizontal="right" vertical="center" wrapText="1"/>
    </xf>
    <xf numFmtId="164" fontId="5" fillId="3" borderId="8" xfId="2" applyFont="1" applyFill="1" applyBorder="1" applyAlignment="1">
      <alignment horizontal="center" vertical="center" wrapText="1"/>
    </xf>
    <xf numFmtId="164" fontId="5" fillId="3" borderId="26" xfId="2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1" fillId="10" borderId="8" xfId="0" applyFont="1" applyFill="1" applyBorder="1" applyAlignment="1">
      <alignment horizontal="center"/>
    </xf>
    <xf numFmtId="0" fontId="31" fillId="10" borderId="26" xfId="0" applyFont="1" applyFill="1" applyBorder="1" applyAlignment="1">
      <alignment horizontal="center"/>
    </xf>
    <xf numFmtId="0" fontId="22" fillId="3" borderId="17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164" fontId="22" fillId="3" borderId="19" xfId="2" applyFont="1" applyFill="1" applyBorder="1" applyAlignment="1" applyProtection="1">
      <alignment horizontal="center" vertical="center"/>
    </xf>
    <xf numFmtId="164" fontId="28" fillId="3" borderId="7" xfId="2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10" fontId="0" fillId="0" borderId="11" xfId="3" applyNumberFormat="1" applyFont="1" applyBorder="1" applyAlignment="1" applyProtection="1">
      <alignment horizontal="center" vertical="center"/>
    </xf>
    <xf numFmtId="10" fontId="0" fillId="0" borderId="13" xfId="3" applyNumberFormat="1" applyFont="1" applyBorder="1" applyAlignment="1" applyProtection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31" fillId="10" borderId="6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22" fillId="3" borderId="1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/>
    </xf>
    <xf numFmtId="164" fontId="1" fillId="0" borderId="12" xfId="2" applyFont="1" applyBorder="1" applyAlignment="1" applyProtection="1">
      <alignment horizontal="center" vertical="center" wrapText="1"/>
    </xf>
    <xf numFmtId="164" fontId="1" fillId="0" borderId="52" xfId="2" applyFont="1" applyBorder="1" applyAlignment="1" applyProtection="1">
      <alignment horizontal="center" vertical="center" wrapText="1"/>
    </xf>
    <xf numFmtId="0" fontId="34" fillId="0" borderId="6" xfId="5" applyFont="1" applyBorder="1" applyAlignment="1" applyProtection="1">
      <alignment horizontal="left" vertical="center"/>
    </xf>
    <xf numFmtId="0" fontId="40" fillId="0" borderId="15" xfId="0" applyFont="1" applyBorder="1" applyAlignment="1" applyProtection="1">
      <alignment horizontal="center"/>
      <protection locked="0"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3" fillId="4" borderId="5" xfId="0" applyFont="1" applyFill="1" applyBorder="1" applyAlignment="1" applyProtection="1">
      <alignment horizontal="center" vertical="center"/>
    </xf>
    <xf numFmtId="0" fontId="33" fillId="4" borderId="6" xfId="0" applyFont="1" applyFill="1" applyBorder="1" applyAlignment="1" applyProtection="1">
      <alignment horizontal="center" vertical="center"/>
    </xf>
    <xf numFmtId="0" fontId="33" fillId="4" borderId="7" xfId="0" applyFont="1" applyFill="1" applyBorder="1" applyAlignment="1" applyProtection="1">
      <alignment horizontal="center" vertical="center"/>
    </xf>
    <xf numFmtId="0" fontId="39" fillId="0" borderId="6" xfId="0" applyFont="1" applyBorder="1" applyAlignment="1" applyProtection="1">
      <alignment horizontal="left"/>
      <protection locked="0"/>
    </xf>
    <xf numFmtId="10" fontId="22" fillId="0" borderId="7" xfId="0" applyNumberFormat="1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5" borderId="5" xfId="0" applyFont="1" applyFill="1" applyBorder="1" applyAlignment="1" applyProtection="1">
      <alignment horizontal="center" vertical="center"/>
    </xf>
    <xf numFmtId="0" fontId="22" fillId="5" borderId="6" xfId="0" applyFont="1" applyFill="1" applyBorder="1" applyAlignment="1" applyProtection="1">
      <alignment horizontal="center" vertical="center"/>
    </xf>
    <xf numFmtId="0" fontId="22" fillId="5" borderId="7" xfId="0" applyFont="1" applyFill="1" applyBorder="1" applyAlignment="1" applyProtection="1">
      <alignment horizontal="center" vertical="center"/>
    </xf>
    <xf numFmtId="0" fontId="21" fillId="6" borderId="6" xfId="0" applyFont="1" applyFill="1" applyBorder="1" applyAlignment="1" applyProtection="1">
      <alignment horizontal="center" vertical="center" wrapText="1"/>
    </xf>
    <xf numFmtId="0" fontId="21" fillId="6" borderId="7" xfId="0" applyFont="1" applyFill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0" fillId="0" borderId="32" xfId="0" applyFont="1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0" fillId="0" borderId="34" xfId="0" applyFont="1" applyBorder="1" applyAlignment="1" applyProtection="1">
      <alignment horizontal="center"/>
    </xf>
    <xf numFmtId="0" fontId="0" fillId="0" borderId="35" xfId="0" applyFont="1" applyBorder="1" applyAlignment="1" applyProtection="1">
      <alignment horizontal="center"/>
    </xf>
    <xf numFmtId="0" fontId="34" fillId="0" borderId="6" xfId="5" applyFont="1" applyBorder="1" applyAlignment="1" applyProtection="1">
      <alignment horizontal="center" vertical="center"/>
    </xf>
    <xf numFmtId="0" fontId="36" fillId="0" borderId="5" xfId="5" applyFont="1" applyBorder="1" applyAlignment="1" applyProtection="1">
      <alignment horizontal="center" vertical="center"/>
    </xf>
    <xf numFmtId="0" fontId="36" fillId="0" borderId="6" xfId="5" applyFont="1" applyBorder="1" applyAlignment="1" applyProtection="1">
      <alignment horizontal="center" vertical="center"/>
    </xf>
    <xf numFmtId="0" fontId="36" fillId="0" borderId="7" xfId="5" applyFont="1" applyBorder="1" applyAlignment="1" applyProtection="1">
      <alignment horizontal="center" vertical="center"/>
    </xf>
    <xf numFmtId="0" fontId="34" fillId="0" borderId="5" xfId="5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center"/>
    </xf>
    <xf numFmtId="0" fontId="30" fillId="0" borderId="6" xfId="0" applyFont="1" applyBorder="1" applyAlignment="1" applyProtection="1">
      <alignment horizontal="center"/>
    </xf>
    <xf numFmtId="0" fontId="30" fillId="0" borderId="7" xfId="0" applyFont="1" applyBorder="1" applyAlignment="1" applyProtection="1">
      <alignment horizontal="center"/>
    </xf>
    <xf numFmtId="0" fontId="0" fillId="0" borderId="39" xfId="0" applyBorder="1" applyAlignment="1" applyProtection="1">
      <alignment horizontal="right"/>
    </xf>
    <xf numFmtId="0" fontId="0" fillId="0" borderId="31" xfId="0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0" fontId="0" fillId="0" borderId="40" xfId="0" applyBorder="1" applyAlignment="1" applyProtection="1">
      <alignment horizontal="right"/>
    </xf>
    <xf numFmtId="0" fontId="0" fillId="0" borderId="34" xfId="0" applyBorder="1" applyAlignment="1" applyProtection="1">
      <alignment horizontal="right"/>
    </xf>
    <xf numFmtId="0" fontId="0" fillId="0" borderId="35" xfId="0" applyBorder="1" applyAlignment="1" applyProtection="1">
      <alignment horizontal="right"/>
    </xf>
    <xf numFmtId="0" fontId="37" fillId="0" borderId="41" xfId="0" applyFont="1" applyFill="1" applyBorder="1" applyAlignment="1" applyProtection="1">
      <alignment horizontal="center" vertical="center" wrapText="1"/>
    </xf>
    <xf numFmtId="0" fontId="37" fillId="0" borderId="42" xfId="0" applyFont="1" applyFill="1" applyBorder="1" applyAlignment="1" applyProtection="1">
      <alignment horizontal="center" vertical="center" wrapText="1"/>
    </xf>
    <xf numFmtId="0" fontId="37" fillId="0" borderId="43" xfId="0" applyFont="1" applyFill="1" applyBorder="1" applyAlignment="1" applyProtection="1">
      <alignment horizontal="center" vertical="center" wrapText="1"/>
    </xf>
    <xf numFmtId="0" fontId="34" fillId="0" borderId="46" xfId="5" applyFont="1" applyBorder="1" applyAlignment="1" applyProtection="1">
      <alignment vertical="center" wrapText="1"/>
    </xf>
    <xf numFmtId="0" fontId="34" fillId="0" borderId="9" xfId="5" applyFont="1" applyBorder="1" applyAlignment="1" applyProtection="1">
      <alignment vertical="center" wrapText="1"/>
    </xf>
    <xf numFmtId="0" fontId="34" fillId="0" borderId="47" xfId="5" applyFont="1" applyBorder="1" applyAlignment="1" applyProtection="1">
      <alignment vertical="center" wrapText="1"/>
    </xf>
    <xf numFmtId="0" fontId="34" fillId="0" borderId="36" xfId="5" applyFont="1" applyBorder="1" applyAlignment="1" applyProtection="1">
      <alignment horizontal="center" vertical="center"/>
      <protection locked="0"/>
    </xf>
    <xf numFmtId="0" fontId="34" fillId="0" borderId="37" xfId="5" applyFont="1" applyBorder="1" applyAlignment="1" applyProtection="1">
      <alignment horizontal="center" vertical="center"/>
      <protection locked="0"/>
    </xf>
    <xf numFmtId="0" fontId="34" fillId="0" borderId="38" xfId="5" applyFont="1" applyBorder="1" applyAlignment="1" applyProtection="1">
      <alignment horizontal="center" vertical="center"/>
      <protection locked="0"/>
    </xf>
    <xf numFmtId="0" fontId="34" fillId="0" borderId="5" xfId="5" applyFont="1" applyBorder="1" applyAlignment="1" applyProtection="1">
      <alignment vertical="center" wrapText="1"/>
      <protection locked="0"/>
    </xf>
    <xf numFmtId="0" fontId="34" fillId="0" borderId="6" xfId="5" applyFont="1" applyBorder="1" applyAlignment="1" applyProtection="1">
      <alignment vertical="center" wrapText="1"/>
      <protection locked="0"/>
    </xf>
    <xf numFmtId="0" fontId="34" fillId="0" borderId="7" xfId="5" applyFont="1" applyBorder="1" applyAlignment="1" applyProtection="1">
      <alignment vertical="center" wrapText="1"/>
      <protection locked="0"/>
    </xf>
    <xf numFmtId="0" fontId="34" fillId="0" borderId="5" xfId="5" applyFont="1" applyBorder="1" applyAlignment="1" applyProtection="1">
      <alignment vertical="center" wrapText="1"/>
    </xf>
    <xf numFmtId="0" fontId="34" fillId="0" borderId="6" xfId="5" applyFont="1" applyBorder="1" applyAlignment="1" applyProtection="1">
      <alignment vertical="center" wrapText="1"/>
    </xf>
    <xf numFmtId="0" fontId="34" fillId="0" borderId="7" xfId="5" applyFont="1" applyBorder="1" applyAlignment="1" applyProtection="1">
      <alignment vertical="center" wrapText="1"/>
    </xf>
  </cellXfs>
  <cellStyles count="6">
    <cellStyle name="Moeda" xfId="2" builtinId="4"/>
    <cellStyle name="Normal" xfId="0" builtinId="0"/>
    <cellStyle name="Normal 2 22" xfId="5"/>
    <cellStyle name="Porcentagem" xfId="3" builtinId="5"/>
    <cellStyle name="Porcentagem 2" xfId="4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2000249</xdr:colOff>
      <xdr:row>0</xdr:row>
      <xdr:rowOff>57149</xdr:rowOff>
    </xdr:from>
    <xdr:to>
      <xdr:col>3</xdr:col>
      <xdr:colOff>5857874</xdr:colOff>
      <xdr:row>0</xdr:row>
      <xdr:rowOff>1000124</xdr:rowOff>
    </xdr:to>
    <xdr:pic>
      <xdr:nvPicPr>
        <xdr:cNvPr id="2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4" y="57149"/>
          <a:ext cx="38576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76200</xdr:rowOff>
    </xdr:from>
    <xdr:to>
      <xdr:col>4</xdr:col>
      <xdr:colOff>628650</xdr:colOff>
      <xdr:row>0</xdr:row>
      <xdr:rowOff>952500</xdr:rowOff>
    </xdr:to>
    <xdr:pic>
      <xdr:nvPicPr>
        <xdr:cNvPr id="2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76200"/>
          <a:ext cx="3390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2114550</xdr:colOff>
      <xdr:row>0</xdr:row>
      <xdr:rowOff>57149</xdr:rowOff>
    </xdr:from>
    <xdr:to>
      <xdr:col>4</xdr:col>
      <xdr:colOff>314325</xdr:colOff>
      <xdr:row>0</xdr:row>
      <xdr:rowOff>1000124</xdr:rowOff>
    </xdr:to>
    <xdr:pic>
      <xdr:nvPicPr>
        <xdr:cNvPr id="2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57149"/>
          <a:ext cx="40767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28575</xdr:rowOff>
    </xdr:from>
    <xdr:to>
      <xdr:col>9</xdr:col>
      <xdr:colOff>685800</xdr:colOff>
      <xdr:row>0</xdr:row>
      <xdr:rowOff>904875</xdr:rowOff>
    </xdr:to>
    <xdr:pic>
      <xdr:nvPicPr>
        <xdr:cNvPr id="2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28575"/>
          <a:ext cx="3162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22</xdr:row>
      <xdr:rowOff>161925</xdr:rowOff>
    </xdr:from>
    <xdr:to>
      <xdr:col>7</xdr:col>
      <xdr:colOff>57150</xdr:colOff>
      <xdr:row>26</xdr:row>
      <xdr:rowOff>9525</xdr:rowOff>
    </xdr:to>
    <xdr:pic>
      <xdr:nvPicPr>
        <xdr:cNvPr id="2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1" t="-20001" b="-2"/>
        <a:stretch>
          <a:fillRect/>
        </a:stretch>
      </xdr:blipFill>
      <xdr:spPr bwMode="auto">
        <a:xfrm>
          <a:off x="1352550" y="5353050"/>
          <a:ext cx="3352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46</xdr:row>
      <xdr:rowOff>38101</xdr:rowOff>
    </xdr:from>
    <xdr:to>
      <xdr:col>6</xdr:col>
      <xdr:colOff>28575</xdr:colOff>
      <xdr:row>52</xdr:row>
      <xdr:rowOff>28575</xdr:rowOff>
    </xdr:to>
    <xdr:pic>
      <xdr:nvPicPr>
        <xdr:cNvPr id="4" name="Imagem 6" descr="https://auditoriadeengenharia.files.wordpress.com/2013/10/tab-05-quartis-de-bdi-despesas-financeiras-e-lucro-por-tipo-de-obra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4126"/>
          <a:ext cx="4095750" cy="107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38099</xdr:rowOff>
    </xdr:from>
    <xdr:to>
      <xdr:col>5</xdr:col>
      <xdr:colOff>104775</xdr:colOff>
      <xdr:row>40</xdr:row>
      <xdr:rowOff>9524</xdr:rowOff>
    </xdr:to>
    <xdr:pic>
      <xdr:nvPicPr>
        <xdr:cNvPr id="5" name="Imagem 7" descr="https://auditoriadeengenharia.files.wordpress.com/2013/10/tab-03-valores-do-bdi-por-tipo-de-obra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72424"/>
          <a:ext cx="35337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47625</xdr:rowOff>
    </xdr:from>
    <xdr:to>
      <xdr:col>7</xdr:col>
      <xdr:colOff>219075</xdr:colOff>
      <xdr:row>45</xdr:row>
      <xdr:rowOff>152400</xdr:rowOff>
    </xdr:to>
    <xdr:pic>
      <xdr:nvPicPr>
        <xdr:cNvPr id="6" name="Imagem 9" descr="https://oorcamentista.com.br/wp-content/uploads/2018/02/BDI-IMG-3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"/>
          <a:ext cx="48672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323850</xdr:colOff>
      <xdr:row>0</xdr:row>
      <xdr:rowOff>76201</xdr:rowOff>
    </xdr:from>
    <xdr:to>
      <xdr:col>7</xdr:col>
      <xdr:colOff>57150</xdr:colOff>
      <xdr:row>0</xdr:row>
      <xdr:rowOff>895351</xdr:rowOff>
    </xdr:to>
    <xdr:pic>
      <xdr:nvPicPr>
        <xdr:cNvPr id="7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76201"/>
          <a:ext cx="30099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OR&#199;AMENT&#193;RIA%20-%20REVITALIZA&#199;&#195;O%20AQIDAB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ÕES"/>
      <sheetName val="material"/>
      <sheetName val="PL.ORÇ."/>
      <sheetName val="PLANILHA CONTRATADA"/>
      <sheetName val="1º MEDIÇÃO"/>
      <sheetName val="PAV. TSD"/>
      <sheetName val="IMPRIMAÇÃO"/>
      <sheetName val="C.F.F"/>
      <sheetName val="BDI"/>
      <sheetName val="CPU´s"/>
      <sheetName val="M.C.CRUZ."/>
      <sheetName val="M.C. TOTAL"/>
      <sheetName val="SINALIZ."/>
      <sheetName val="SERVIÇOS COMPLEMENTARES"/>
      <sheetName val="BDI SERVIÇOS"/>
      <sheetName val="Plan2"/>
    </sheetNames>
    <sheetDataSet>
      <sheetData sheetId="0"/>
      <sheetData sheetId="1"/>
      <sheetData sheetId="2">
        <row r="4">
          <cell r="B4" t="str">
            <v>RUA AQUIDABAN - SIDROLÂNDIA/MS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workbookViewId="0">
      <selection activeCell="A64" sqref="A64"/>
    </sheetView>
  </sheetViews>
  <sheetFormatPr defaultRowHeight="14.25" x14ac:dyDescent="0.2"/>
  <cols>
    <col min="1" max="1" width="7.25" style="66" customWidth="1"/>
    <col min="2" max="2" width="11.125" style="137" customWidth="1"/>
    <col min="3" max="3" width="12.875" style="66" customWidth="1"/>
    <col min="4" max="4" width="77.125" style="137" customWidth="1"/>
    <col min="5" max="5" width="8" style="118" bestFit="1" customWidth="1"/>
    <col min="6" max="6" width="10.5" style="134" customWidth="1"/>
    <col min="7" max="7" width="12.125" style="5" hidden="1" customWidth="1"/>
    <col min="8" max="8" width="12.75" style="5" hidden="1" customWidth="1"/>
    <col min="9" max="9" width="13" style="5" hidden="1" customWidth="1"/>
    <col min="10" max="10" width="11.5" style="137" hidden="1" customWidth="1"/>
    <col min="11" max="11" width="15.125" style="137" hidden="1" customWidth="1"/>
    <col min="12" max="12" width="43.375" style="159" customWidth="1"/>
    <col min="13" max="13" width="11.75" style="137" customWidth="1"/>
    <col min="14" max="16384" width="9" style="137"/>
  </cols>
  <sheetData>
    <row r="1" spans="1:12" ht="97.5" customHeight="1" x14ac:dyDescent="0.25">
      <c r="A1" s="220" t="s">
        <v>117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2"/>
    </row>
    <row r="2" spans="1:12" ht="21.75" customHeight="1" x14ac:dyDescent="0.2">
      <c r="A2" s="189" t="s">
        <v>75</v>
      </c>
      <c r="B2" s="95" t="s">
        <v>183</v>
      </c>
      <c r="C2" s="96"/>
      <c r="D2" s="95"/>
      <c r="E2" s="114"/>
      <c r="F2" s="188"/>
      <c r="G2" s="223" t="s">
        <v>157</v>
      </c>
      <c r="H2" s="223"/>
      <c r="I2" s="224" t="s">
        <v>118</v>
      </c>
      <c r="J2" s="224"/>
      <c r="K2" s="95"/>
      <c r="L2" s="190"/>
    </row>
    <row r="3" spans="1:12" ht="21.75" customHeight="1" x14ac:dyDescent="0.2">
      <c r="A3" s="189" t="s">
        <v>78</v>
      </c>
      <c r="B3" s="95" t="s">
        <v>215</v>
      </c>
      <c r="C3" s="96"/>
      <c r="D3" s="95"/>
      <c r="E3" s="114"/>
      <c r="F3" s="188"/>
      <c r="G3" s="225">
        <f>'BDI DES'!I22</f>
        <v>0.28347674918197008</v>
      </c>
      <c r="H3" s="225"/>
      <c r="I3" s="227" t="s">
        <v>213</v>
      </c>
      <c r="J3" s="227"/>
      <c r="K3" s="95"/>
      <c r="L3" s="190"/>
    </row>
    <row r="4" spans="1:12" ht="21.75" customHeight="1" thickBot="1" x14ac:dyDescent="0.25">
      <c r="A4" s="191" t="s">
        <v>77</v>
      </c>
      <c r="B4" s="194">
        <f>F53</f>
        <v>2002.2980000000002</v>
      </c>
      <c r="C4" s="215" t="s">
        <v>34</v>
      </c>
      <c r="D4" s="192"/>
      <c r="E4" s="193"/>
      <c r="F4" s="194"/>
      <c r="G4" s="226"/>
      <c r="H4" s="226"/>
      <c r="I4" s="228"/>
      <c r="J4" s="228"/>
      <c r="K4" s="192"/>
      <c r="L4" s="195"/>
    </row>
    <row r="5" spans="1:12" ht="20.25" customHeight="1" x14ac:dyDescent="0.2">
      <c r="A5" s="217" t="s">
        <v>228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9"/>
    </row>
    <row r="6" spans="1:12" s="118" customFormat="1" ht="30" customHeight="1" x14ac:dyDescent="0.2">
      <c r="A6" s="196" t="s">
        <v>0</v>
      </c>
      <c r="B6" s="197" t="s">
        <v>1</v>
      </c>
      <c r="C6" s="198" t="s">
        <v>2</v>
      </c>
      <c r="D6" s="196" t="s">
        <v>3</v>
      </c>
      <c r="E6" s="199" t="s">
        <v>4</v>
      </c>
      <c r="F6" s="200" t="s">
        <v>5</v>
      </c>
      <c r="G6" s="201" t="s">
        <v>6</v>
      </c>
      <c r="H6" s="201" t="s">
        <v>7</v>
      </c>
      <c r="I6" s="201" t="s">
        <v>8</v>
      </c>
      <c r="J6" s="197" t="s">
        <v>9</v>
      </c>
      <c r="K6" s="113"/>
      <c r="L6" s="210" t="s">
        <v>256</v>
      </c>
    </row>
    <row r="7" spans="1:12" ht="24" customHeight="1" x14ac:dyDescent="0.2">
      <c r="A7" s="84" t="s">
        <v>10</v>
      </c>
      <c r="B7" s="85"/>
      <c r="C7" s="84"/>
      <c r="D7" s="85" t="s">
        <v>11</v>
      </c>
      <c r="E7" s="116"/>
      <c r="F7" s="128"/>
      <c r="G7" s="86"/>
      <c r="H7" s="86"/>
      <c r="I7" s="87">
        <f>TRUNC(SUMPRODUCT(F8:F12,H8:H12),2)</f>
        <v>26779.26</v>
      </c>
      <c r="J7" s="88" t="e">
        <f>I7/#REF!</f>
        <v>#REF!</v>
      </c>
      <c r="K7" s="209">
        <f>SUM(I8:I12)</f>
        <v>26779.26</v>
      </c>
      <c r="L7" s="128"/>
    </row>
    <row r="8" spans="1:12" ht="24" customHeight="1" x14ac:dyDescent="0.2">
      <c r="A8" s="154" t="s">
        <v>12</v>
      </c>
      <c r="B8" s="202" t="s">
        <v>13</v>
      </c>
      <c r="C8" s="154" t="s">
        <v>14</v>
      </c>
      <c r="D8" s="203" t="s">
        <v>15</v>
      </c>
      <c r="E8" s="204" t="s">
        <v>16</v>
      </c>
      <c r="F8" s="205">
        <f>15*6</f>
        <v>90</v>
      </c>
      <c r="G8" s="206">
        <v>102.78</v>
      </c>
      <c r="H8" s="206">
        <f t="shared" ref="H8:H12" si="0">TRUNC(G8+($G$3*G8),2)</f>
        <v>131.91</v>
      </c>
      <c r="I8" s="206">
        <f>TRUNC((F8*H8),2)</f>
        <v>11871.9</v>
      </c>
      <c r="J8" s="207" t="e">
        <f>I8/#REF!</f>
        <v>#REF!</v>
      </c>
      <c r="L8" s="208" t="s">
        <v>216</v>
      </c>
    </row>
    <row r="9" spans="1:12" ht="24" customHeight="1" x14ac:dyDescent="0.2">
      <c r="A9" s="69" t="s">
        <v>17</v>
      </c>
      <c r="B9" s="70" t="s">
        <v>18</v>
      </c>
      <c r="C9" s="69" t="s">
        <v>14</v>
      </c>
      <c r="D9" s="71" t="s">
        <v>19</v>
      </c>
      <c r="E9" s="72" t="s">
        <v>16</v>
      </c>
      <c r="F9" s="129">
        <f>24*6*2</f>
        <v>288</v>
      </c>
      <c r="G9" s="73">
        <v>26.21</v>
      </c>
      <c r="H9" s="73">
        <f t="shared" si="0"/>
        <v>33.630000000000003</v>
      </c>
      <c r="I9" s="73">
        <f t="shared" ref="I9:I12" si="1">TRUNC((F9*H9),2)</f>
        <v>9685.44</v>
      </c>
      <c r="J9" s="74" t="e">
        <f>I9/#REF!</f>
        <v>#REF!</v>
      </c>
      <c r="L9" s="163" t="s">
        <v>217</v>
      </c>
    </row>
    <row r="10" spans="1:12" ht="24" customHeight="1" x14ac:dyDescent="0.2">
      <c r="A10" s="69" t="s">
        <v>20</v>
      </c>
      <c r="B10" s="70" t="s">
        <v>21</v>
      </c>
      <c r="C10" s="69" t="s">
        <v>14</v>
      </c>
      <c r="D10" s="71" t="s">
        <v>22</v>
      </c>
      <c r="E10" s="72" t="s">
        <v>16</v>
      </c>
      <c r="F10" s="129">
        <v>40</v>
      </c>
      <c r="G10" s="73">
        <v>20.04</v>
      </c>
      <c r="H10" s="73">
        <f t="shared" si="0"/>
        <v>25.72</v>
      </c>
      <c r="I10" s="73">
        <f t="shared" si="1"/>
        <v>1028.8</v>
      </c>
      <c r="J10" s="74" t="e">
        <f>I10/#REF!</f>
        <v>#REF!</v>
      </c>
      <c r="L10" s="163" t="s">
        <v>218</v>
      </c>
    </row>
    <row r="11" spans="1:12" ht="24" customHeight="1" x14ac:dyDescent="0.2">
      <c r="A11" s="69" t="s">
        <v>23</v>
      </c>
      <c r="B11" s="70" t="s">
        <v>24</v>
      </c>
      <c r="C11" s="69" t="s">
        <v>14</v>
      </c>
      <c r="D11" s="71" t="s">
        <v>25</v>
      </c>
      <c r="E11" s="72" t="s">
        <v>16</v>
      </c>
      <c r="F11" s="129">
        <v>40</v>
      </c>
      <c r="G11" s="73">
        <v>9.86</v>
      </c>
      <c r="H11" s="73">
        <f t="shared" si="0"/>
        <v>12.65</v>
      </c>
      <c r="I11" s="73">
        <f t="shared" si="1"/>
        <v>506</v>
      </c>
      <c r="J11" s="74" t="e">
        <f>I11/#REF!</f>
        <v>#REF!</v>
      </c>
      <c r="L11" s="163" t="s">
        <v>218</v>
      </c>
    </row>
    <row r="12" spans="1:12" ht="32.25" customHeight="1" x14ac:dyDescent="0.2">
      <c r="A12" s="69" t="s">
        <v>26</v>
      </c>
      <c r="B12" s="70" t="s">
        <v>27</v>
      </c>
      <c r="C12" s="69" t="s">
        <v>14</v>
      </c>
      <c r="D12" s="71" t="s">
        <v>28</v>
      </c>
      <c r="E12" s="72" t="s">
        <v>29</v>
      </c>
      <c r="F12" s="129">
        <v>36</v>
      </c>
      <c r="G12" s="73">
        <v>79.8</v>
      </c>
      <c r="H12" s="73">
        <f t="shared" si="0"/>
        <v>102.42</v>
      </c>
      <c r="I12" s="73">
        <f t="shared" si="1"/>
        <v>3687.12</v>
      </c>
      <c r="J12" s="74" t="e">
        <f>I12/#REF!</f>
        <v>#REF!</v>
      </c>
      <c r="L12" s="163" t="s">
        <v>219</v>
      </c>
    </row>
    <row r="13" spans="1:12" ht="24" customHeight="1" x14ac:dyDescent="0.2">
      <c r="A13" s="84" t="s">
        <v>30</v>
      </c>
      <c r="B13" s="85"/>
      <c r="C13" s="84"/>
      <c r="D13" s="85" t="s">
        <v>31</v>
      </c>
      <c r="E13" s="116"/>
      <c r="F13" s="128"/>
      <c r="G13" s="86"/>
      <c r="H13" s="86"/>
      <c r="I13" s="87">
        <f>TRUNC(SUMPRODUCT(F14:F15,H14:H15),2)</f>
        <v>9695.0400000000009</v>
      </c>
      <c r="J13" s="88" t="e">
        <f>I13/#REF!</f>
        <v>#REF!</v>
      </c>
      <c r="K13" s="160">
        <f>SUM(I14:I15)</f>
        <v>9695.0400000000009</v>
      </c>
      <c r="L13" s="128"/>
    </row>
    <row r="14" spans="1:12" ht="30.75" customHeight="1" x14ac:dyDescent="0.2">
      <c r="A14" s="69" t="s">
        <v>32</v>
      </c>
      <c r="B14" s="69" t="s">
        <v>178</v>
      </c>
      <c r="C14" s="69" t="s">
        <v>127</v>
      </c>
      <c r="D14" s="71" t="s">
        <v>33</v>
      </c>
      <c r="E14" s="72" t="s">
        <v>34</v>
      </c>
      <c r="F14" s="129">
        <v>8</v>
      </c>
      <c r="G14" s="73">
        <v>321.72000000000003</v>
      </c>
      <c r="H14" s="73">
        <f>TRUNC(G14+($G$3*G14),2)</f>
        <v>412.92</v>
      </c>
      <c r="I14" s="73">
        <f>TRUNC((F14*H14),2)</f>
        <v>3303.36</v>
      </c>
      <c r="J14" s="74" t="e">
        <f>I14/#REF!</f>
        <v>#REF!</v>
      </c>
      <c r="L14" s="163" t="s">
        <v>221</v>
      </c>
    </row>
    <row r="15" spans="1:12" ht="33" customHeight="1" x14ac:dyDescent="0.2">
      <c r="A15" s="75" t="s">
        <v>35</v>
      </c>
      <c r="B15" s="76" t="s">
        <v>36</v>
      </c>
      <c r="C15" s="75" t="s">
        <v>14</v>
      </c>
      <c r="D15" s="77" t="s">
        <v>37</v>
      </c>
      <c r="E15" s="90" t="s">
        <v>121</v>
      </c>
      <c r="F15" s="130">
        <v>6</v>
      </c>
      <c r="G15" s="78">
        <v>830</v>
      </c>
      <c r="H15" s="73">
        <f>TRUNC(G15+($G$3*G15),2)</f>
        <v>1065.28</v>
      </c>
      <c r="I15" s="73">
        <f t="shared" ref="I15" si="2">TRUNC((F15*H15),2)</f>
        <v>6391.68</v>
      </c>
      <c r="J15" s="74" t="e">
        <f>I15/#REF!</f>
        <v>#REF!</v>
      </c>
      <c r="L15" s="163" t="s">
        <v>220</v>
      </c>
    </row>
    <row r="16" spans="1:12" ht="24" customHeight="1" x14ac:dyDescent="0.2">
      <c r="A16" s="84" t="s">
        <v>38</v>
      </c>
      <c r="B16" s="85"/>
      <c r="C16" s="84"/>
      <c r="D16" s="85" t="s">
        <v>39</v>
      </c>
      <c r="E16" s="116"/>
      <c r="F16" s="128"/>
      <c r="G16" s="86"/>
      <c r="H16" s="89"/>
      <c r="I16" s="87">
        <f>TRUNC(SUMPRODUCT(F17:F19,H17:H19),2)</f>
        <v>19829.87</v>
      </c>
      <c r="J16" s="88" t="e">
        <f>I16/#REF!</f>
        <v>#REF!</v>
      </c>
      <c r="K16" s="160">
        <f>SUM(I17:I19)</f>
        <v>19829.87</v>
      </c>
      <c r="L16" s="128"/>
    </row>
    <row r="17" spans="1:12" ht="34.5" customHeight="1" x14ac:dyDescent="0.2">
      <c r="A17" s="69" t="s">
        <v>40</v>
      </c>
      <c r="B17" s="70" t="s">
        <v>41</v>
      </c>
      <c r="C17" s="69" t="s">
        <v>14</v>
      </c>
      <c r="D17" s="71" t="s">
        <v>42</v>
      </c>
      <c r="E17" s="72" t="s">
        <v>34</v>
      </c>
      <c r="F17" s="129">
        <f>M.C.01!B19</f>
        <v>1874.0880000000002</v>
      </c>
      <c r="G17" s="73">
        <v>0.34</v>
      </c>
      <c r="H17" s="73">
        <f>TRUNC(G17+($G$3*G17),2)</f>
        <v>0.43</v>
      </c>
      <c r="I17" s="73">
        <f>TRUNC((F17*H17),2)</f>
        <v>805.85</v>
      </c>
      <c r="J17" s="74" t="e">
        <f>I17/#REF!</f>
        <v>#REF!</v>
      </c>
      <c r="L17" s="163" t="s">
        <v>248</v>
      </c>
    </row>
    <row r="18" spans="1:12" ht="34.5" customHeight="1" x14ac:dyDescent="0.2">
      <c r="A18" s="69" t="s">
        <v>43</v>
      </c>
      <c r="B18" s="70">
        <v>97636</v>
      </c>
      <c r="C18" s="69" t="s">
        <v>14</v>
      </c>
      <c r="D18" s="71" t="s">
        <v>203</v>
      </c>
      <c r="E18" s="72" t="s">
        <v>34</v>
      </c>
      <c r="F18" s="129">
        <f>M.C.01!D19</f>
        <v>724</v>
      </c>
      <c r="G18" s="73">
        <v>18.02</v>
      </c>
      <c r="H18" s="73">
        <f>TRUNC(G18+($G$3*G18),2)</f>
        <v>23.12</v>
      </c>
      <c r="I18" s="73">
        <f t="shared" ref="I18:I44" si="3">TRUNC((F18*H18),2)</f>
        <v>16738.88</v>
      </c>
      <c r="J18" s="74" t="e">
        <f>I18/#REF!</f>
        <v>#REF!</v>
      </c>
      <c r="L18" s="163" t="s">
        <v>248</v>
      </c>
    </row>
    <row r="19" spans="1:12" ht="24" customHeight="1" x14ac:dyDescent="0.2">
      <c r="A19" s="69" t="s">
        <v>44</v>
      </c>
      <c r="B19" s="69" t="s">
        <v>177</v>
      </c>
      <c r="C19" s="69" t="s">
        <v>127</v>
      </c>
      <c r="D19" s="71" t="s">
        <v>45</v>
      </c>
      <c r="E19" s="90" t="s">
        <v>67</v>
      </c>
      <c r="F19" s="129">
        <v>34</v>
      </c>
      <c r="G19" s="73">
        <v>52.37</v>
      </c>
      <c r="H19" s="73">
        <f>TRUNC(G19+($G$3*G19),2)</f>
        <v>67.209999999999994</v>
      </c>
      <c r="I19" s="73">
        <f t="shared" si="3"/>
        <v>2285.14</v>
      </c>
      <c r="J19" s="74" t="e">
        <f>I19/#REF!</f>
        <v>#REF!</v>
      </c>
      <c r="L19" s="163" t="s">
        <v>227</v>
      </c>
    </row>
    <row r="20" spans="1:12" ht="24" customHeight="1" x14ac:dyDescent="0.2">
      <c r="A20" s="84" t="s">
        <v>51</v>
      </c>
      <c r="B20" s="85"/>
      <c r="C20" s="84"/>
      <c r="D20" s="85" t="s">
        <v>52</v>
      </c>
      <c r="E20" s="116"/>
      <c r="F20" s="128"/>
      <c r="G20" s="86"/>
      <c r="H20" s="89"/>
      <c r="I20" s="87">
        <f>TRUNC(SUMPRODUCT(F21:F23,H21:H23),2)</f>
        <v>204559.8</v>
      </c>
      <c r="J20" s="88" t="e">
        <f>I20/#REF!</f>
        <v>#REF!</v>
      </c>
      <c r="K20" s="160">
        <f>SUM(I21:I23)</f>
        <v>204559.8</v>
      </c>
      <c r="L20" s="128"/>
    </row>
    <row r="21" spans="1:12" ht="36.75" customHeight="1" x14ac:dyDescent="0.2">
      <c r="A21" s="69" t="s">
        <v>53</v>
      </c>
      <c r="B21" s="70" t="s">
        <v>54</v>
      </c>
      <c r="C21" s="69" t="s">
        <v>14</v>
      </c>
      <c r="D21" s="71" t="s">
        <v>55</v>
      </c>
      <c r="E21" s="72" t="s">
        <v>34</v>
      </c>
      <c r="F21" s="129">
        <f>M.C.01!F19</f>
        <v>1751.258</v>
      </c>
      <c r="G21" s="73">
        <v>0.52</v>
      </c>
      <c r="H21" s="73">
        <f>TRUNC(G21+($G$3*G21),2)</f>
        <v>0.66</v>
      </c>
      <c r="I21" s="73">
        <f t="shared" si="3"/>
        <v>1155.83</v>
      </c>
      <c r="J21" s="74" t="e">
        <f>I21/#REF!</f>
        <v>#REF!</v>
      </c>
      <c r="L21" s="163" t="s">
        <v>248</v>
      </c>
    </row>
    <row r="22" spans="1:12" ht="43.5" customHeight="1" x14ac:dyDescent="0.2">
      <c r="A22" s="69" t="s">
        <v>56</v>
      </c>
      <c r="B22" s="70" t="s">
        <v>57</v>
      </c>
      <c r="C22" s="69" t="s">
        <v>14</v>
      </c>
      <c r="D22" s="71" t="s">
        <v>58</v>
      </c>
      <c r="E22" s="72" t="s">
        <v>34</v>
      </c>
      <c r="F22" s="129">
        <f>F21</f>
        <v>1751.258</v>
      </c>
      <c r="G22" s="73">
        <v>87.86</v>
      </c>
      <c r="H22" s="73">
        <f>TRUNC(G22+($G$3*G22),2)</f>
        <v>112.76</v>
      </c>
      <c r="I22" s="73">
        <f t="shared" si="3"/>
        <v>197471.85</v>
      </c>
      <c r="J22" s="74" t="e">
        <f>I22/#REF!</f>
        <v>#REF!</v>
      </c>
      <c r="L22" s="163" t="s">
        <v>248</v>
      </c>
    </row>
    <row r="23" spans="1:12" ht="33.75" customHeight="1" x14ac:dyDescent="0.2">
      <c r="A23" s="69" t="s">
        <v>165</v>
      </c>
      <c r="B23" s="70">
        <v>94263</v>
      </c>
      <c r="C23" s="69" t="s">
        <v>14</v>
      </c>
      <c r="D23" s="71" t="s">
        <v>166</v>
      </c>
      <c r="E23" s="90" t="s">
        <v>67</v>
      </c>
      <c r="F23" s="129">
        <f>71.65+4.26+71.23+5.63+5.42</f>
        <v>158.19</v>
      </c>
      <c r="G23" s="73">
        <v>29.22</v>
      </c>
      <c r="H23" s="73">
        <f>TRUNC(G23+($G$3*G23),2)</f>
        <v>37.5</v>
      </c>
      <c r="I23" s="73">
        <f t="shared" si="3"/>
        <v>5932.12</v>
      </c>
      <c r="J23" s="74" t="e">
        <f>I23/#REF!</f>
        <v>#REF!</v>
      </c>
      <c r="L23" s="163" t="s">
        <v>249</v>
      </c>
    </row>
    <row r="24" spans="1:12" ht="24" customHeight="1" x14ac:dyDescent="0.2">
      <c r="A24" s="84" t="s">
        <v>59</v>
      </c>
      <c r="B24" s="85"/>
      <c r="C24" s="84"/>
      <c r="D24" s="85" t="s">
        <v>60</v>
      </c>
      <c r="E24" s="116"/>
      <c r="F24" s="128"/>
      <c r="G24" s="86"/>
      <c r="H24" s="89"/>
      <c r="I24" s="87">
        <f>TRUNC(SUMPRODUCT(F25:F32,H25:H32),2)</f>
        <v>143929.21</v>
      </c>
      <c r="J24" s="88" t="e">
        <f>I24/#REF!</f>
        <v>#REF!</v>
      </c>
      <c r="K24" s="160">
        <f>SUM(I25:I32)</f>
        <v>143929.20000000001</v>
      </c>
      <c r="L24" s="128"/>
    </row>
    <row r="25" spans="1:12" ht="35.25" customHeight="1" x14ac:dyDescent="0.2">
      <c r="A25" s="69" t="s">
        <v>61</v>
      </c>
      <c r="B25" s="70" t="s">
        <v>54</v>
      </c>
      <c r="C25" s="69" t="s">
        <v>14</v>
      </c>
      <c r="D25" s="71" t="s">
        <v>55</v>
      </c>
      <c r="E25" s="72" t="s">
        <v>34</v>
      </c>
      <c r="F25" s="129">
        <f>M.C.01!B34</f>
        <v>352.28</v>
      </c>
      <c r="G25" s="73">
        <v>0.52</v>
      </c>
      <c r="H25" s="73">
        <f t="shared" ref="H25:H32" si="4">TRUNC(G25+($G$3*G25),2)</f>
        <v>0.66</v>
      </c>
      <c r="I25" s="73">
        <f t="shared" si="3"/>
        <v>232.5</v>
      </c>
      <c r="J25" s="74" t="e">
        <f>I25/#REF!</f>
        <v>#REF!</v>
      </c>
      <c r="L25" s="163" t="s">
        <v>248</v>
      </c>
    </row>
    <row r="26" spans="1:12" ht="36" customHeight="1" x14ac:dyDescent="0.2">
      <c r="A26" s="69" t="s">
        <v>207</v>
      </c>
      <c r="B26" s="70" t="s">
        <v>62</v>
      </c>
      <c r="C26" s="69" t="s">
        <v>14</v>
      </c>
      <c r="D26" s="71" t="s">
        <v>63</v>
      </c>
      <c r="E26" s="72" t="s">
        <v>34</v>
      </c>
      <c r="F26" s="129">
        <v>352.28</v>
      </c>
      <c r="G26" s="73">
        <v>63.6</v>
      </c>
      <c r="H26" s="73">
        <f t="shared" si="4"/>
        <v>81.62</v>
      </c>
      <c r="I26" s="73">
        <f t="shared" si="3"/>
        <v>28753.09</v>
      </c>
      <c r="J26" s="74" t="e">
        <f>I26/#REF!</f>
        <v>#REF!</v>
      </c>
      <c r="L26" s="163" t="s">
        <v>248</v>
      </c>
    </row>
    <row r="27" spans="1:12" ht="36" customHeight="1" x14ac:dyDescent="0.2">
      <c r="A27" s="69" t="s">
        <v>208</v>
      </c>
      <c r="B27" s="70" t="s">
        <v>64</v>
      </c>
      <c r="C27" s="69" t="s">
        <v>14</v>
      </c>
      <c r="D27" s="71" t="s">
        <v>65</v>
      </c>
      <c r="E27" s="72" t="s">
        <v>34</v>
      </c>
      <c r="F27" s="129">
        <f>7*22</f>
        <v>154</v>
      </c>
      <c r="G27" s="73">
        <v>259.92</v>
      </c>
      <c r="H27" s="73">
        <f t="shared" si="4"/>
        <v>333.6</v>
      </c>
      <c r="I27" s="73">
        <f t="shared" si="3"/>
        <v>51374.400000000001</v>
      </c>
      <c r="J27" s="74" t="e">
        <f>I27/#REF!</f>
        <v>#REF!</v>
      </c>
      <c r="L27" s="163" t="s">
        <v>251</v>
      </c>
    </row>
    <row r="28" spans="1:12" ht="32.25" customHeight="1" x14ac:dyDescent="0.2">
      <c r="A28" s="69" t="s">
        <v>174</v>
      </c>
      <c r="B28" s="154" t="s">
        <v>193</v>
      </c>
      <c r="C28" s="69" t="s">
        <v>127</v>
      </c>
      <c r="D28" s="153" t="s">
        <v>192</v>
      </c>
      <c r="E28" s="90" t="s">
        <v>122</v>
      </c>
      <c r="F28" s="129">
        <v>20</v>
      </c>
      <c r="G28" s="73">
        <v>480.43</v>
      </c>
      <c r="H28" s="73">
        <f t="shared" si="4"/>
        <v>616.62</v>
      </c>
      <c r="I28" s="73">
        <f t="shared" si="3"/>
        <v>12332.4</v>
      </c>
      <c r="J28" s="74" t="e">
        <f>I28/#REF!</f>
        <v>#REF!</v>
      </c>
      <c r="L28" s="163" t="s">
        <v>250</v>
      </c>
    </row>
    <row r="29" spans="1:12" ht="57" customHeight="1" x14ac:dyDescent="0.2">
      <c r="A29" s="69" t="s">
        <v>176</v>
      </c>
      <c r="B29" s="143" t="s">
        <v>194</v>
      </c>
      <c r="C29" s="69" t="s">
        <v>127</v>
      </c>
      <c r="D29" s="138" t="s">
        <v>175</v>
      </c>
      <c r="E29" s="90" t="s">
        <v>122</v>
      </c>
      <c r="F29" s="129">
        <v>28</v>
      </c>
      <c r="G29" s="73">
        <v>812.73</v>
      </c>
      <c r="H29" s="73">
        <f t="shared" si="4"/>
        <v>1043.1199999999999</v>
      </c>
      <c r="I29" s="73">
        <f t="shared" si="3"/>
        <v>29207.360000000001</v>
      </c>
      <c r="J29" s="74" t="e">
        <f>I29/#REF!</f>
        <v>#REF!</v>
      </c>
      <c r="L29" s="163" t="s">
        <v>252</v>
      </c>
    </row>
    <row r="30" spans="1:12" ht="27" customHeight="1" x14ac:dyDescent="0.2">
      <c r="A30" s="69" t="s">
        <v>209</v>
      </c>
      <c r="B30" s="143">
        <v>102233</v>
      </c>
      <c r="C30" s="69" t="s">
        <v>14</v>
      </c>
      <c r="D30" s="138" t="s">
        <v>211</v>
      </c>
      <c r="E30" s="90" t="s">
        <v>34</v>
      </c>
      <c r="F30" s="129">
        <f>(28*2*0.55)+F27</f>
        <v>184.8</v>
      </c>
      <c r="G30" s="73">
        <v>9.66</v>
      </c>
      <c r="H30" s="73">
        <f t="shared" si="4"/>
        <v>12.39</v>
      </c>
      <c r="I30" s="73">
        <f>TRUNC((F30*H30),2)</f>
        <v>2289.67</v>
      </c>
      <c r="J30" s="74" t="e">
        <f>I30/#REF!</f>
        <v>#REF!</v>
      </c>
      <c r="L30" s="163" t="s">
        <v>253</v>
      </c>
    </row>
    <row r="31" spans="1:12" ht="33" customHeight="1" x14ac:dyDescent="0.2">
      <c r="A31" s="69" t="s">
        <v>210</v>
      </c>
      <c r="B31" s="143">
        <v>102203</v>
      </c>
      <c r="C31" s="69" t="s">
        <v>14</v>
      </c>
      <c r="D31" s="138" t="s">
        <v>212</v>
      </c>
      <c r="E31" s="90" t="s">
        <v>34</v>
      </c>
      <c r="F31" s="129">
        <f>F30</f>
        <v>184.8</v>
      </c>
      <c r="G31" s="73">
        <v>7.86</v>
      </c>
      <c r="H31" s="73">
        <f t="shared" si="4"/>
        <v>10.08</v>
      </c>
      <c r="I31" s="73">
        <f>TRUNC((F31*H31),2)</f>
        <v>1862.78</v>
      </c>
      <c r="J31" s="74" t="e">
        <f>I31/#REF!</f>
        <v>#REF!</v>
      </c>
      <c r="L31" s="163" t="s">
        <v>253</v>
      </c>
    </row>
    <row r="32" spans="1:12" ht="24" customHeight="1" x14ac:dyDescent="0.2">
      <c r="A32" s="69" t="s">
        <v>259</v>
      </c>
      <c r="B32" s="69" t="s">
        <v>147</v>
      </c>
      <c r="C32" s="69" t="s">
        <v>127</v>
      </c>
      <c r="D32" s="71" t="s">
        <v>66</v>
      </c>
      <c r="E32" s="72" t="s">
        <v>67</v>
      </c>
      <c r="F32" s="129">
        <v>75</v>
      </c>
      <c r="G32" s="73">
        <v>185.72</v>
      </c>
      <c r="H32" s="73">
        <f t="shared" si="4"/>
        <v>238.36</v>
      </c>
      <c r="I32" s="73">
        <f t="shared" si="3"/>
        <v>17877</v>
      </c>
      <c r="J32" s="74" t="e">
        <f>I32/#REF!</f>
        <v>#REF!</v>
      </c>
      <c r="L32" s="163" t="s">
        <v>254</v>
      </c>
    </row>
    <row r="33" spans="1:17" ht="24" customHeight="1" x14ac:dyDescent="0.2">
      <c r="A33" s="84" t="s">
        <v>68</v>
      </c>
      <c r="B33" s="85"/>
      <c r="C33" s="84"/>
      <c r="D33" s="85" t="s">
        <v>69</v>
      </c>
      <c r="E33" s="116"/>
      <c r="F33" s="128"/>
      <c r="G33" s="86"/>
      <c r="H33" s="86"/>
      <c r="I33" s="87">
        <f>TRUNC(SUMPRODUCT(F34:F45,H34:H45),2)</f>
        <v>219659.36</v>
      </c>
      <c r="J33" s="88" t="e">
        <f>I33/#REF!</f>
        <v>#REF!</v>
      </c>
      <c r="K33" s="160">
        <f>SUM(I34:I45)</f>
        <v>219659.36000000002</v>
      </c>
      <c r="L33" s="128"/>
    </row>
    <row r="34" spans="1:17" s="123" customFormat="1" ht="70.5" customHeight="1" x14ac:dyDescent="0.2">
      <c r="A34" s="103" t="s">
        <v>97</v>
      </c>
      <c r="B34" s="103" t="s">
        <v>168</v>
      </c>
      <c r="C34" s="103" t="s">
        <v>127</v>
      </c>
      <c r="D34" s="102" t="s">
        <v>164</v>
      </c>
      <c r="E34" s="108" t="s">
        <v>128</v>
      </c>
      <c r="F34" s="131">
        <v>1</v>
      </c>
      <c r="G34" s="104">
        <v>7021.18</v>
      </c>
      <c r="H34" s="105">
        <f>TRUNC(G34+($G$3*G34),2)</f>
        <v>9011.52</v>
      </c>
      <c r="I34" s="105">
        <f t="shared" si="3"/>
        <v>9011.52</v>
      </c>
      <c r="J34" s="106" t="e">
        <f>I34/#REF!</f>
        <v>#REF!</v>
      </c>
      <c r="L34" s="164" t="s">
        <v>222</v>
      </c>
    </row>
    <row r="35" spans="1:17" s="123" customFormat="1" ht="24.75" customHeight="1" x14ac:dyDescent="0.2">
      <c r="A35" s="103" t="s">
        <v>99</v>
      </c>
      <c r="B35" s="103" t="s">
        <v>148</v>
      </c>
      <c r="C35" s="103" t="s">
        <v>127</v>
      </c>
      <c r="D35" s="102" t="s">
        <v>135</v>
      </c>
      <c r="E35" s="108" t="s">
        <v>128</v>
      </c>
      <c r="F35" s="131">
        <v>1</v>
      </c>
      <c r="G35" s="104">
        <v>123.05</v>
      </c>
      <c r="H35" s="105">
        <f t="shared" ref="H35:H45" si="5">TRUNC(G35+($G$3*G35),2)</f>
        <v>157.93</v>
      </c>
      <c r="I35" s="105">
        <f t="shared" si="3"/>
        <v>157.93</v>
      </c>
      <c r="J35" s="106" t="e">
        <f>I35/#REF!</f>
        <v>#REF!</v>
      </c>
      <c r="L35" s="164" t="s">
        <v>222</v>
      </c>
    </row>
    <row r="36" spans="1:17" s="123" customFormat="1" ht="33" customHeight="1" x14ac:dyDescent="0.2">
      <c r="A36" s="103" t="s">
        <v>101</v>
      </c>
      <c r="B36" s="103">
        <v>91931</v>
      </c>
      <c r="C36" s="103" t="s">
        <v>14</v>
      </c>
      <c r="D36" s="122" t="s">
        <v>136</v>
      </c>
      <c r="E36" s="108" t="s">
        <v>67</v>
      </c>
      <c r="F36" s="131">
        <v>2800</v>
      </c>
      <c r="G36" s="104">
        <v>9.3000000000000007</v>
      </c>
      <c r="H36" s="105">
        <f t="shared" si="5"/>
        <v>11.93</v>
      </c>
      <c r="I36" s="105">
        <f t="shared" si="3"/>
        <v>33404</v>
      </c>
      <c r="J36" s="106" t="e">
        <f>I36/#REF!</f>
        <v>#REF!</v>
      </c>
      <c r="L36" s="164" t="s">
        <v>222</v>
      </c>
    </row>
    <row r="37" spans="1:17" s="123" customFormat="1" ht="33" customHeight="1" x14ac:dyDescent="0.2">
      <c r="A37" s="103" t="s">
        <v>103</v>
      </c>
      <c r="B37" s="103">
        <v>91867</v>
      </c>
      <c r="C37" s="103" t="s">
        <v>14</v>
      </c>
      <c r="D37" s="102" t="s">
        <v>137</v>
      </c>
      <c r="E37" s="108" t="s">
        <v>67</v>
      </c>
      <c r="F37" s="131">
        <v>800</v>
      </c>
      <c r="G37" s="104">
        <v>10.88</v>
      </c>
      <c r="H37" s="105">
        <f t="shared" si="5"/>
        <v>13.96</v>
      </c>
      <c r="I37" s="105">
        <f t="shared" si="3"/>
        <v>11168</v>
      </c>
      <c r="J37" s="106" t="e">
        <f>I37/#REF!</f>
        <v>#REF!</v>
      </c>
      <c r="L37" s="164" t="s">
        <v>222</v>
      </c>
    </row>
    <row r="38" spans="1:17" s="123" customFormat="1" ht="33" customHeight="1" x14ac:dyDescent="0.2">
      <c r="A38" s="103" t="s">
        <v>129</v>
      </c>
      <c r="B38" s="103">
        <v>91908</v>
      </c>
      <c r="C38" s="103" t="s">
        <v>14</v>
      </c>
      <c r="D38" s="102" t="s">
        <v>138</v>
      </c>
      <c r="E38" s="108" t="s">
        <v>122</v>
      </c>
      <c r="F38" s="131">
        <v>1</v>
      </c>
      <c r="G38" s="104">
        <v>19.27</v>
      </c>
      <c r="H38" s="105">
        <f t="shared" si="5"/>
        <v>24.73</v>
      </c>
      <c r="I38" s="105">
        <f t="shared" si="3"/>
        <v>24.73</v>
      </c>
      <c r="J38" s="106" t="e">
        <f>I38/#REF!</f>
        <v>#REF!</v>
      </c>
      <c r="L38" s="164" t="s">
        <v>222</v>
      </c>
    </row>
    <row r="39" spans="1:17" s="123" customFormat="1" ht="33" customHeight="1" x14ac:dyDescent="0.2">
      <c r="A39" s="103" t="s">
        <v>130</v>
      </c>
      <c r="B39" s="103">
        <v>93016</v>
      </c>
      <c r="C39" s="103" t="s">
        <v>14</v>
      </c>
      <c r="D39" s="102" t="s">
        <v>140</v>
      </c>
      <c r="E39" s="108" t="s">
        <v>122</v>
      </c>
      <c r="F39" s="131">
        <v>1</v>
      </c>
      <c r="G39" s="104">
        <v>35.83</v>
      </c>
      <c r="H39" s="105">
        <f t="shared" si="5"/>
        <v>45.98</v>
      </c>
      <c r="I39" s="105">
        <f t="shared" si="3"/>
        <v>45.98</v>
      </c>
      <c r="J39" s="106" t="e">
        <f>I39/#REF!</f>
        <v>#REF!</v>
      </c>
      <c r="L39" s="164" t="s">
        <v>222</v>
      </c>
    </row>
    <row r="40" spans="1:17" s="123" customFormat="1" ht="23.25" customHeight="1" x14ac:dyDescent="0.2">
      <c r="A40" s="103" t="s">
        <v>131</v>
      </c>
      <c r="B40" s="103">
        <v>93358</v>
      </c>
      <c r="C40" s="103" t="s">
        <v>14</v>
      </c>
      <c r="D40" s="102" t="s">
        <v>141</v>
      </c>
      <c r="E40" s="108" t="s">
        <v>48</v>
      </c>
      <c r="F40" s="131">
        <v>8</v>
      </c>
      <c r="G40" s="104">
        <v>64.48</v>
      </c>
      <c r="H40" s="105">
        <f t="shared" si="5"/>
        <v>82.75</v>
      </c>
      <c r="I40" s="105">
        <f t="shared" si="3"/>
        <v>662</v>
      </c>
      <c r="J40" s="106" t="e">
        <f>I40/#REF!</f>
        <v>#REF!</v>
      </c>
      <c r="L40" s="164" t="s">
        <v>222</v>
      </c>
    </row>
    <row r="41" spans="1:17" s="123" customFormat="1" ht="24" customHeight="1" x14ac:dyDescent="0.2">
      <c r="A41" s="103" t="s">
        <v>132</v>
      </c>
      <c r="B41" s="103">
        <v>96995</v>
      </c>
      <c r="C41" s="103" t="s">
        <v>14</v>
      </c>
      <c r="D41" s="102" t="s">
        <v>139</v>
      </c>
      <c r="E41" s="108" t="s">
        <v>48</v>
      </c>
      <c r="F41" s="131">
        <v>4</v>
      </c>
      <c r="G41" s="104">
        <v>39.090000000000003</v>
      </c>
      <c r="H41" s="105">
        <f t="shared" si="5"/>
        <v>50.17</v>
      </c>
      <c r="I41" s="105">
        <f t="shared" si="3"/>
        <v>200.68</v>
      </c>
      <c r="J41" s="106" t="e">
        <f>I41/#REF!</f>
        <v>#REF!</v>
      </c>
      <c r="L41" s="164" t="s">
        <v>222</v>
      </c>
    </row>
    <row r="42" spans="1:17" s="123" customFormat="1" ht="33.75" customHeight="1" x14ac:dyDescent="0.2">
      <c r="A42" s="103" t="s">
        <v>133</v>
      </c>
      <c r="B42" s="103">
        <v>97886</v>
      </c>
      <c r="C42" s="103" t="s">
        <v>14</v>
      </c>
      <c r="D42" s="102" t="s">
        <v>143</v>
      </c>
      <c r="E42" s="108" t="s">
        <v>122</v>
      </c>
      <c r="F42" s="131">
        <v>24</v>
      </c>
      <c r="G42" s="104">
        <v>143.19999999999999</v>
      </c>
      <c r="H42" s="105">
        <f t="shared" si="5"/>
        <v>183.79</v>
      </c>
      <c r="I42" s="105">
        <f t="shared" si="3"/>
        <v>4410.96</v>
      </c>
      <c r="J42" s="106" t="e">
        <f>I42/#REF!</f>
        <v>#REF!</v>
      </c>
      <c r="L42" s="164" t="s">
        <v>222</v>
      </c>
    </row>
    <row r="43" spans="1:17" s="123" customFormat="1" ht="33.75" customHeight="1" x14ac:dyDescent="0.2">
      <c r="A43" s="103" t="s">
        <v>134</v>
      </c>
      <c r="B43" s="103">
        <v>101659</v>
      </c>
      <c r="C43" s="103" t="s">
        <v>14</v>
      </c>
      <c r="D43" s="102" t="s">
        <v>142</v>
      </c>
      <c r="E43" s="108" t="s">
        <v>122</v>
      </c>
      <c r="F43" s="131">
        <v>56</v>
      </c>
      <c r="G43" s="104">
        <v>1059.96</v>
      </c>
      <c r="H43" s="105">
        <f t="shared" si="5"/>
        <v>1360.43</v>
      </c>
      <c r="I43" s="105">
        <f t="shared" si="3"/>
        <v>76184.08</v>
      </c>
      <c r="J43" s="106" t="e">
        <f>I43/#REF!</f>
        <v>#REF!</v>
      </c>
      <c r="L43" s="164" t="s">
        <v>222</v>
      </c>
    </row>
    <row r="44" spans="1:17" s="123" customFormat="1" ht="35.25" customHeight="1" x14ac:dyDescent="0.2">
      <c r="A44" s="103" t="s">
        <v>145</v>
      </c>
      <c r="B44" s="103" t="s">
        <v>167</v>
      </c>
      <c r="C44" s="103" t="s">
        <v>127</v>
      </c>
      <c r="D44" s="102" t="s">
        <v>205</v>
      </c>
      <c r="E44" s="108" t="s">
        <v>122</v>
      </c>
      <c r="F44" s="131">
        <v>28</v>
      </c>
      <c r="G44" s="104">
        <v>2113.36</v>
      </c>
      <c r="H44" s="105">
        <f t="shared" si="5"/>
        <v>2712.44</v>
      </c>
      <c r="I44" s="105">
        <f t="shared" si="3"/>
        <v>75948.320000000007</v>
      </c>
      <c r="J44" s="106" t="e">
        <f>I44/#REF!</f>
        <v>#REF!</v>
      </c>
      <c r="K44" s="161"/>
      <c r="L44" s="164" t="s">
        <v>222</v>
      </c>
    </row>
    <row r="45" spans="1:17" s="123" customFormat="1" ht="37.5" customHeight="1" x14ac:dyDescent="0.2">
      <c r="A45" s="103" t="s">
        <v>146</v>
      </c>
      <c r="B45" s="103" t="s">
        <v>149</v>
      </c>
      <c r="C45" s="103" t="s">
        <v>127</v>
      </c>
      <c r="D45" s="102" t="s">
        <v>144</v>
      </c>
      <c r="E45" s="108" t="s">
        <v>122</v>
      </c>
      <c r="F45" s="131">
        <v>84</v>
      </c>
      <c r="G45" s="104">
        <v>78.3</v>
      </c>
      <c r="H45" s="105">
        <f t="shared" si="5"/>
        <v>100.49</v>
      </c>
      <c r="I45" s="105">
        <f>TRUNC((F45*H45),2)</f>
        <v>8441.16</v>
      </c>
      <c r="J45" s="106" t="e">
        <f>I45/#REF!</f>
        <v>#REF!</v>
      </c>
      <c r="L45" s="164" t="s">
        <v>222</v>
      </c>
    </row>
    <row r="46" spans="1:17" ht="24" customHeight="1" x14ac:dyDescent="0.2">
      <c r="A46" s="109" t="s">
        <v>70</v>
      </c>
      <c r="B46" s="110"/>
      <c r="C46" s="109"/>
      <c r="D46" s="110" t="s">
        <v>71</v>
      </c>
      <c r="E46" s="117"/>
      <c r="F46" s="132"/>
      <c r="G46" s="111"/>
      <c r="H46" s="111"/>
      <c r="I46" s="87">
        <f>TRUNC(SUMPRODUCT(F47:F51,H47:H51),2)</f>
        <v>52376.86</v>
      </c>
      <c r="J46" s="88" t="e">
        <f>I46/#REF!</f>
        <v>#REF!</v>
      </c>
      <c r="K46" s="160">
        <f>SUM(I47:I51)</f>
        <v>52376.859999999993</v>
      </c>
      <c r="L46" s="128"/>
    </row>
    <row r="47" spans="1:17" ht="21.75" customHeight="1" x14ac:dyDescent="0.2">
      <c r="A47" s="103" t="s">
        <v>150</v>
      </c>
      <c r="B47" s="69">
        <v>98509</v>
      </c>
      <c r="C47" s="103" t="s">
        <v>14</v>
      </c>
      <c r="D47" s="71" t="s">
        <v>151</v>
      </c>
      <c r="E47" s="108" t="s">
        <v>122</v>
      </c>
      <c r="F47" s="131">
        <v>400</v>
      </c>
      <c r="G47" s="104">
        <v>48.41</v>
      </c>
      <c r="H47" s="105">
        <f t="shared" ref="H47:H51" si="6">TRUNC(G47+($G$3*G47),2)</f>
        <v>62.13</v>
      </c>
      <c r="I47" s="105">
        <f t="shared" ref="I47:I51" si="7">TRUNC((F47*H47),2)</f>
        <v>24852</v>
      </c>
      <c r="J47" s="106" t="e">
        <f>I47/#REF!</f>
        <v>#REF!</v>
      </c>
      <c r="L47" s="163" t="s">
        <v>223</v>
      </c>
    </row>
    <row r="48" spans="1:17" ht="21.75" customHeight="1" x14ac:dyDescent="0.2">
      <c r="A48" s="103" t="s">
        <v>153</v>
      </c>
      <c r="B48" s="69" t="s">
        <v>124</v>
      </c>
      <c r="C48" s="103" t="s">
        <v>14</v>
      </c>
      <c r="D48" s="71" t="s">
        <v>125</v>
      </c>
      <c r="E48" s="108" t="s">
        <v>34</v>
      </c>
      <c r="F48" s="131">
        <v>150</v>
      </c>
      <c r="G48" s="104">
        <v>6.87</v>
      </c>
      <c r="H48" s="105">
        <f t="shared" si="6"/>
        <v>8.81</v>
      </c>
      <c r="I48" s="105">
        <f t="shared" si="7"/>
        <v>1321.5</v>
      </c>
      <c r="J48" s="106" t="e">
        <f>I48/#REF!</f>
        <v>#REF!</v>
      </c>
      <c r="L48" s="163" t="s">
        <v>223</v>
      </c>
      <c r="N48" s="119"/>
      <c r="O48" s="119"/>
      <c r="P48" s="120"/>
      <c r="Q48" s="121"/>
    </row>
    <row r="49" spans="1:17" ht="32.25" customHeight="1" x14ac:dyDescent="0.2">
      <c r="A49" s="103" t="s">
        <v>154</v>
      </c>
      <c r="B49" s="69">
        <v>98511</v>
      </c>
      <c r="C49" s="103" t="s">
        <v>14</v>
      </c>
      <c r="D49" s="71" t="s">
        <v>152</v>
      </c>
      <c r="E49" s="108" t="s">
        <v>122</v>
      </c>
      <c r="F49" s="131">
        <v>40</v>
      </c>
      <c r="G49" s="104">
        <v>135.06</v>
      </c>
      <c r="H49" s="105">
        <f t="shared" si="6"/>
        <v>173.34</v>
      </c>
      <c r="I49" s="105">
        <f t="shared" si="7"/>
        <v>6933.6</v>
      </c>
      <c r="J49" s="106" t="e">
        <f>I49/#REF!</f>
        <v>#REF!</v>
      </c>
      <c r="L49" s="163" t="s">
        <v>223</v>
      </c>
      <c r="M49" s="162"/>
      <c r="N49" s="119"/>
      <c r="O49" s="119"/>
      <c r="P49" s="120"/>
      <c r="Q49" s="121"/>
    </row>
    <row r="50" spans="1:17" ht="24" customHeight="1" x14ac:dyDescent="0.2">
      <c r="A50" s="103" t="s">
        <v>155</v>
      </c>
      <c r="B50" s="69">
        <v>98516</v>
      </c>
      <c r="C50" s="103" t="s">
        <v>14</v>
      </c>
      <c r="D50" s="71" t="s">
        <v>126</v>
      </c>
      <c r="E50" s="108" t="s">
        <v>122</v>
      </c>
      <c r="F50" s="131">
        <v>20</v>
      </c>
      <c r="G50" s="104">
        <v>326.49</v>
      </c>
      <c r="H50" s="105">
        <f t="shared" si="6"/>
        <v>419.04</v>
      </c>
      <c r="I50" s="105">
        <f t="shared" si="7"/>
        <v>8380.7999999999993</v>
      </c>
      <c r="J50" s="106" t="e">
        <f>I50/#REF!</f>
        <v>#REF!</v>
      </c>
      <c r="L50" s="163" t="s">
        <v>223</v>
      </c>
      <c r="N50" s="119"/>
      <c r="O50" s="119"/>
      <c r="P50" s="120"/>
      <c r="Q50" s="121"/>
    </row>
    <row r="51" spans="1:17" ht="22.5" customHeight="1" x14ac:dyDescent="0.2">
      <c r="A51" s="103" t="s">
        <v>159</v>
      </c>
      <c r="B51" s="103">
        <v>103946</v>
      </c>
      <c r="C51" s="103" t="s">
        <v>14</v>
      </c>
      <c r="D51" s="102" t="s">
        <v>158</v>
      </c>
      <c r="E51" s="108" t="s">
        <v>34</v>
      </c>
      <c r="F51" s="131">
        <v>724</v>
      </c>
      <c r="G51" s="104">
        <v>11.72</v>
      </c>
      <c r="H51" s="104">
        <f t="shared" si="6"/>
        <v>15.04</v>
      </c>
      <c r="I51" s="105">
        <f t="shared" si="7"/>
        <v>10888.96</v>
      </c>
      <c r="J51" s="106" t="e">
        <f>I51/#REF!</f>
        <v>#REF!</v>
      </c>
      <c r="L51" s="163" t="s">
        <v>223</v>
      </c>
      <c r="N51" s="119"/>
      <c r="O51" s="119"/>
      <c r="P51" s="120"/>
      <c r="Q51" s="121"/>
    </row>
    <row r="52" spans="1:17" ht="24" customHeight="1" x14ac:dyDescent="0.2">
      <c r="A52" s="109" t="s">
        <v>72</v>
      </c>
      <c r="B52" s="110"/>
      <c r="C52" s="109"/>
      <c r="D52" s="110" t="s">
        <v>206</v>
      </c>
      <c r="E52" s="117"/>
      <c r="F52" s="132"/>
      <c r="G52" s="111"/>
      <c r="H52" s="111"/>
      <c r="I52" s="87">
        <f>TRUNC(SUMPRODUCT(F53:F54,H53:H54),2)</f>
        <v>156550.98000000001</v>
      </c>
      <c r="J52" s="112">
        <v>0</v>
      </c>
      <c r="K52" s="160">
        <f>SUM(I53:I54)</f>
        <v>156550.97</v>
      </c>
      <c r="L52" s="128"/>
      <c r="P52" s="120"/>
      <c r="Q52" s="121"/>
    </row>
    <row r="53" spans="1:17" ht="30" customHeight="1" x14ac:dyDescent="0.2">
      <c r="A53" s="103" t="s">
        <v>160</v>
      </c>
      <c r="B53" s="69">
        <v>102494</v>
      </c>
      <c r="C53" s="103" t="s">
        <v>14</v>
      </c>
      <c r="D53" s="71" t="s">
        <v>162</v>
      </c>
      <c r="E53" s="108" t="s">
        <v>34</v>
      </c>
      <c r="F53" s="131">
        <f>M.C.01!D34</f>
        <v>2002.2980000000002</v>
      </c>
      <c r="G53" s="104">
        <v>53.04</v>
      </c>
      <c r="H53" s="105">
        <f t="shared" ref="H53:H54" si="8">TRUNC(G53+($G$3*G53),2)</f>
        <v>68.069999999999993</v>
      </c>
      <c r="I53" s="105">
        <f t="shared" ref="I53:I54" si="9">TRUNC((F53*H53),2)</f>
        <v>136296.42000000001</v>
      </c>
      <c r="J53" s="106" t="e">
        <f>I53/#REF!</f>
        <v>#REF!</v>
      </c>
      <c r="L53" s="163" t="s">
        <v>248</v>
      </c>
      <c r="P53" s="120"/>
      <c r="Q53" s="121"/>
    </row>
    <row r="54" spans="1:17" ht="42" customHeight="1" x14ac:dyDescent="0.2">
      <c r="A54" s="103" t="s">
        <v>161</v>
      </c>
      <c r="B54" s="69">
        <v>102512</v>
      </c>
      <c r="C54" s="103" t="s">
        <v>14</v>
      </c>
      <c r="D54" s="71" t="s">
        <v>163</v>
      </c>
      <c r="E54" s="108" t="s">
        <v>67</v>
      </c>
      <c r="F54" s="131">
        <f>M.C.01!F34</f>
        <v>3256.3599999999997</v>
      </c>
      <c r="G54" s="104">
        <v>4.8499999999999996</v>
      </c>
      <c r="H54" s="105">
        <f t="shared" si="8"/>
        <v>6.22</v>
      </c>
      <c r="I54" s="105">
        <f t="shared" si="9"/>
        <v>20254.55</v>
      </c>
      <c r="J54" s="106" t="e">
        <f>I54/#REF!</f>
        <v>#REF!</v>
      </c>
      <c r="L54" s="163" t="s">
        <v>248</v>
      </c>
      <c r="P54" s="120"/>
      <c r="Q54" s="121"/>
    </row>
    <row r="55" spans="1:17" ht="24" customHeight="1" x14ac:dyDescent="0.2">
      <c r="A55" s="109">
        <v>9</v>
      </c>
      <c r="B55" s="110"/>
      <c r="C55" s="109"/>
      <c r="D55" s="110" t="s">
        <v>198</v>
      </c>
      <c r="E55" s="117"/>
      <c r="F55" s="132"/>
      <c r="G55" s="111"/>
      <c r="H55" s="111"/>
      <c r="I55" s="87">
        <f>TRUNC(SUMPRODUCT(F56:F61,H56:H61),2)</f>
        <v>14801.45</v>
      </c>
      <c r="J55" s="112">
        <v>0</v>
      </c>
      <c r="K55" s="160">
        <f>SUM(I56:I61)</f>
        <v>14801.429999999998</v>
      </c>
      <c r="L55" s="128"/>
      <c r="P55" s="120"/>
      <c r="Q55" s="121"/>
    </row>
    <row r="56" spans="1:17" ht="23.25" customHeight="1" x14ac:dyDescent="0.2">
      <c r="A56" s="103" t="s">
        <v>199</v>
      </c>
      <c r="B56" s="140" t="s">
        <v>169</v>
      </c>
      <c r="C56" s="140" t="s">
        <v>14</v>
      </c>
      <c r="D56" s="141" t="s">
        <v>170</v>
      </c>
      <c r="E56" s="108" t="s">
        <v>34</v>
      </c>
      <c r="F56" s="131">
        <f>M.C.01!F19+(M.C.01!D32)+M.C.01!B34</f>
        <v>2591.0140000000001</v>
      </c>
      <c r="G56" s="104">
        <v>1.51</v>
      </c>
      <c r="H56" s="105">
        <f t="shared" ref="H56:H61" si="10">TRUNC(G56+($G$3*G56),2)</f>
        <v>1.93</v>
      </c>
      <c r="I56" s="105">
        <f t="shared" ref="I56:I61" si="11">TRUNC((F56*H56),2)</f>
        <v>5000.6499999999996</v>
      </c>
      <c r="J56" s="106" t="e">
        <f>I56/#REF!</f>
        <v>#REF!</v>
      </c>
      <c r="L56" s="163" t="s">
        <v>255</v>
      </c>
      <c r="P56" s="120"/>
      <c r="Q56" s="121"/>
    </row>
    <row r="57" spans="1:17" ht="31.5" customHeight="1" x14ac:dyDescent="0.2">
      <c r="A57" s="103" t="s">
        <v>200</v>
      </c>
      <c r="B57" s="103">
        <v>100947</v>
      </c>
      <c r="C57" s="103" t="s">
        <v>14</v>
      </c>
      <c r="D57" s="102" t="s">
        <v>195</v>
      </c>
      <c r="E57" s="108" t="s">
        <v>197</v>
      </c>
      <c r="F57" s="131">
        <v>510.76</v>
      </c>
      <c r="G57" s="104">
        <v>2.09</v>
      </c>
      <c r="H57" s="105">
        <f t="shared" si="10"/>
        <v>2.68</v>
      </c>
      <c r="I57" s="105">
        <f t="shared" si="11"/>
        <v>1368.83</v>
      </c>
      <c r="J57" s="106" t="e">
        <f>I57/#REF!</f>
        <v>#REF!</v>
      </c>
      <c r="L57" s="163" t="s">
        <v>224</v>
      </c>
      <c r="P57" s="120"/>
      <c r="Q57" s="121"/>
    </row>
    <row r="58" spans="1:17" ht="31.5" customHeight="1" x14ac:dyDescent="0.2">
      <c r="A58" s="103" t="s">
        <v>201</v>
      </c>
      <c r="B58" s="103">
        <v>100948</v>
      </c>
      <c r="C58" s="103" t="s">
        <v>14</v>
      </c>
      <c r="D58" s="102" t="s">
        <v>196</v>
      </c>
      <c r="E58" s="108" t="s">
        <v>197</v>
      </c>
      <c r="F58" s="131">
        <v>647.67999999999995</v>
      </c>
      <c r="G58" s="104">
        <v>0.83</v>
      </c>
      <c r="H58" s="105">
        <f t="shared" si="10"/>
        <v>1.06</v>
      </c>
      <c r="I58" s="105">
        <f t="shared" si="11"/>
        <v>686.54</v>
      </c>
      <c r="J58" s="106" t="e">
        <f>I58/#REF!</f>
        <v>#REF!</v>
      </c>
      <c r="L58" s="163" t="s">
        <v>224</v>
      </c>
      <c r="P58" s="120"/>
      <c r="Q58" s="121"/>
    </row>
    <row r="59" spans="1:17" ht="42.75" customHeight="1" x14ac:dyDescent="0.2">
      <c r="A59" s="103" t="s">
        <v>202</v>
      </c>
      <c r="B59" s="70" t="s">
        <v>46</v>
      </c>
      <c r="C59" s="69" t="s">
        <v>14</v>
      </c>
      <c r="D59" s="71" t="s">
        <v>47</v>
      </c>
      <c r="E59" s="72" t="s">
        <v>48</v>
      </c>
      <c r="F59" s="129">
        <f>((F17+F18)*0.07*1.3)</f>
        <v>236.42600800000005</v>
      </c>
      <c r="G59" s="73">
        <v>8.4</v>
      </c>
      <c r="H59" s="73">
        <f>TRUNC(G59+($G$3*G59),2)</f>
        <v>10.78</v>
      </c>
      <c r="I59" s="73">
        <f t="shared" si="11"/>
        <v>2548.67</v>
      </c>
      <c r="J59" s="74" t="e">
        <f>I59/#REF!</f>
        <v>#REF!</v>
      </c>
      <c r="L59" s="163" t="s">
        <v>225</v>
      </c>
      <c r="P59" s="120"/>
      <c r="Q59" s="121"/>
    </row>
    <row r="60" spans="1:17" ht="28.5" customHeight="1" x14ac:dyDescent="0.2">
      <c r="A60" s="103" t="s">
        <v>204</v>
      </c>
      <c r="B60" s="70" t="s">
        <v>49</v>
      </c>
      <c r="C60" s="69" t="s">
        <v>14</v>
      </c>
      <c r="D60" s="71" t="s">
        <v>50</v>
      </c>
      <c r="E60" s="90" t="s">
        <v>123</v>
      </c>
      <c r="F60" s="129">
        <f>F59*7</f>
        <v>1654.9820560000003</v>
      </c>
      <c r="G60" s="73">
        <v>2.02</v>
      </c>
      <c r="H60" s="73">
        <f>TRUNC(G60+($G$3*G60),2)</f>
        <v>2.59</v>
      </c>
      <c r="I60" s="73">
        <f t="shared" si="11"/>
        <v>4286.3999999999996</v>
      </c>
      <c r="J60" s="74" t="e">
        <f>I60/#REF!</f>
        <v>#REF!</v>
      </c>
      <c r="L60" s="163" t="s">
        <v>225</v>
      </c>
      <c r="P60" s="120"/>
      <c r="Q60" s="121"/>
    </row>
    <row r="61" spans="1:17" ht="26.25" customHeight="1" x14ac:dyDescent="0.2">
      <c r="A61" s="103" t="s">
        <v>202</v>
      </c>
      <c r="B61" s="140" t="s">
        <v>171</v>
      </c>
      <c r="C61" s="140" t="s">
        <v>127</v>
      </c>
      <c r="D61" s="141" t="s">
        <v>172</v>
      </c>
      <c r="E61" s="108" t="s">
        <v>173</v>
      </c>
      <c r="F61" s="131">
        <v>1</v>
      </c>
      <c r="G61" s="104">
        <v>709.28</v>
      </c>
      <c r="H61" s="105">
        <f t="shared" si="10"/>
        <v>910.34</v>
      </c>
      <c r="I61" s="105">
        <f t="shared" si="11"/>
        <v>910.34</v>
      </c>
      <c r="J61" s="106" t="e">
        <f>I61/#REF!</f>
        <v>#REF!</v>
      </c>
      <c r="L61" s="163" t="s">
        <v>226</v>
      </c>
      <c r="P61" s="120"/>
      <c r="Q61" s="121"/>
    </row>
    <row r="62" spans="1:17" ht="45.75" customHeight="1" x14ac:dyDescent="0.2">
      <c r="A62" s="67"/>
      <c r="B62" s="2"/>
      <c r="C62" s="67"/>
      <c r="D62" s="2"/>
      <c r="E62" s="2"/>
      <c r="F62" s="133"/>
      <c r="G62" s="4"/>
      <c r="H62" s="4"/>
      <c r="I62" s="4"/>
      <c r="J62" s="2"/>
    </row>
    <row r="63" spans="1:17" ht="47.25" customHeight="1" x14ac:dyDescent="0.2">
      <c r="A63" s="229" t="s">
        <v>261</v>
      </c>
      <c r="B63" s="230"/>
      <c r="C63" s="230"/>
      <c r="D63" s="230"/>
      <c r="E63" s="230"/>
      <c r="F63" s="230"/>
      <c r="G63" s="230"/>
      <c r="H63" s="230"/>
      <c r="I63" s="230"/>
      <c r="J63" s="230"/>
    </row>
  </sheetData>
  <mergeCells count="7">
    <mergeCell ref="A63:J63"/>
    <mergeCell ref="A5:L5"/>
    <mergeCell ref="A1:L1"/>
    <mergeCell ref="G2:H2"/>
    <mergeCell ref="I2:J2"/>
    <mergeCell ref="G3:H4"/>
    <mergeCell ref="I3:J4"/>
  </mergeCells>
  <pageMargins left="0.51181102362204722" right="0.51181102362204722" top="0.78740157480314965" bottom="0.78740157480314965" header="0.31496062992125984" footer="0.31496062992125984"/>
  <pageSetup paperSize="9"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4" workbookViewId="0">
      <selection activeCell="G19" sqref="G19"/>
    </sheetView>
  </sheetViews>
  <sheetFormatPr defaultRowHeight="14.25" x14ac:dyDescent="0.2"/>
  <cols>
    <col min="1" max="1" width="13.5" customWidth="1"/>
    <col min="2" max="2" width="14.5" customWidth="1"/>
    <col min="3" max="3" width="15" customWidth="1"/>
    <col min="4" max="4" width="13.125" customWidth="1"/>
    <col min="5" max="5" width="15.25" customWidth="1"/>
    <col min="6" max="6" width="12.125" customWidth="1"/>
  </cols>
  <sheetData>
    <row r="1" spans="1:8" s="139" customFormat="1" ht="94.5" customHeight="1" thickBot="1" x14ac:dyDescent="0.3">
      <c r="A1" s="240" t="s">
        <v>117</v>
      </c>
      <c r="B1" s="241"/>
      <c r="C1" s="241"/>
      <c r="D1" s="241"/>
      <c r="E1" s="241"/>
      <c r="F1" s="242"/>
      <c r="H1" s="159"/>
    </row>
    <row r="2" spans="1:8" s="139" customFormat="1" ht="26.25" customHeight="1" x14ac:dyDescent="0.2">
      <c r="A2" s="244" t="s">
        <v>183</v>
      </c>
      <c r="B2" s="245"/>
      <c r="C2" s="245"/>
      <c r="D2" s="246"/>
      <c r="E2" s="213" t="s">
        <v>258</v>
      </c>
      <c r="F2" s="214" t="s">
        <v>118</v>
      </c>
      <c r="H2" s="159"/>
    </row>
    <row r="3" spans="1:8" s="139" customFormat="1" ht="31.5" customHeight="1" thickBot="1" x14ac:dyDescent="0.25">
      <c r="A3" s="235" t="s">
        <v>215</v>
      </c>
      <c r="B3" s="236"/>
      <c r="C3" s="236"/>
      <c r="D3" s="237"/>
      <c r="E3" s="211">
        <f>'BDI DES'!I22</f>
        <v>0.28347674918197008</v>
      </c>
      <c r="F3" s="212" t="s">
        <v>213</v>
      </c>
      <c r="H3" s="159"/>
    </row>
    <row r="4" spans="1:8" ht="15" thickBot="1" x14ac:dyDescent="0.25">
      <c r="A4" s="233" t="s">
        <v>228</v>
      </c>
      <c r="B4" s="243"/>
      <c r="C4" s="243"/>
      <c r="D4" s="243"/>
      <c r="E4" s="243"/>
      <c r="F4" s="234"/>
      <c r="G4" s="168"/>
    </row>
    <row r="5" spans="1:8" ht="15" thickBot="1" x14ac:dyDescent="0.25">
      <c r="A5" s="165" t="s">
        <v>232</v>
      </c>
      <c r="B5" s="167"/>
      <c r="C5" s="166" t="s">
        <v>233</v>
      </c>
      <c r="D5" s="167"/>
      <c r="E5" s="231" t="s">
        <v>239</v>
      </c>
      <c r="F5" s="232"/>
      <c r="G5" s="168"/>
    </row>
    <row r="6" spans="1:8" x14ac:dyDescent="0.2">
      <c r="A6" s="169" t="s">
        <v>230</v>
      </c>
      <c r="B6" s="187" t="s">
        <v>231</v>
      </c>
      <c r="C6" s="183" t="s">
        <v>238</v>
      </c>
      <c r="D6" s="173" t="s">
        <v>231</v>
      </c>
      <c r="E6" s="174" t="s">
        <v>238</v>
      </c>
      <c r="F6" s="175" t="s">
        <v>214</v>
      </c>
      <c r="G6" s="168"/>
    </row>
    <row r="7" spans="1:8" x14ac:dyDescent="0.2">
      <c r="A7" s="170">
        <v>1</v>
      </c>
      <c r="B7" s="180">
        <f>(65.7*1.2*2)+(0.62*1.2*2)+(3.3*2.4)</f>
        <v>167.08799999999999</v>
      </c>
      <c r="C7" s="184" t="s">
        <v>229</v>
      </c>
      <c r="D7" s="177">
        <v>474</v>
      </c>
      <c r="E7" s="171" t="s">
        <v>241</v>
      </c>
      <c r="F7" s="179">
        <f>SUM(B7:B15)</f>
        <v>1478.4480000000001</v>
      </c>
      <c r="G7" s="168"/>
    </row>
    <row r="8" spans="1:8" x14ac:dyDescent="0.2">
      <c r="A8" s="170">
        <v>2</v>
      </c>
      <c r="B8" s="180">
        <f>(146*1.2*2)+(0.62*1.2*6)+(3.45*2.4)</f>
        <v>363.14399999999995</v>
      </c>
      <c r="C8" s="184" t="s">
        <v>234</v>
      </c>
      <c r="D8" s="177">
        <v>250</v>
      </c>
      <c r="E8" s="171" t="s">
        <v>229</v>
      </c>
      <c r="F8" s="179">
        <v>189.6</v>
      </c>
      <c r="G8" s="168"/>
    </row>
    <row r="9" spans="1:8" x14ac:dyDescent="0.2">
      <c r="A9" s="170">
        <v>3</v>
      </c>
      <c r="B9" s="180">
        <f>(40.3*1.2*2)+(3.05*2.4)+(0.62*1.2*2)</f>
        <v>105.52799999999998</v>
      </c>
      <c r="C9" s="185"/>
      <c r="D9" s="178"/>
      <c r="E9" s="171" t="s">
        <v>243</v>
      </c>
      <c r="F9" s="179">
        <f>42.57+B16</f>
        <v>83.210000000000008</v>
      </c>
      <c r="G9" s="168"/>
    </row>
    <row r="10" spans="1:8" x14ac:dyDescent="0.2">
      <c r="A10" s="170">
        <v>4</v>
      </c>
      <c r="B10" s="180">
        <f>(87.3*1.2*2)+(0.62*1.2*6)+(3.1*2.4)</f>
        <v>221.42399999999998</v>
      </c>
      <c r="C10" s="184"/>
      <c r="D10" s="177"/>
      <c r="E10" s="171"/>
      <c r="F10" s="179"/>
      <c r="G10" s="168"/>
    </row>
    <row r="11" spans="1:8" x14ac:dyDescent="0.2">
      <c r="A11" s="170">
        <v>5</v>
      </c>
      <c r="B11" s="180">
        <f>(67*1.2*2)+(0.62*1.2*6)+(3.25*2.4)</f>
        <v>173.06399999999999</v>
      </c>
      <c r="C11" s="184"/>
      <c r="D11" s="177"/>
      <c r="E11" s="171"/>
      <c r="F11" s="179"/>
      <c r="G11" s="168"/>
    </row>
    <row r="12" spans="1:8" x14ac:dyDescent="0.2">
      <c r="A12" s="170">
        <v>6</v>
      </c>
      <c r="B12" s="180">
        <f>(11*1.2*2)+(3.33*2.4)</f>
        <v>34.391999999999996</v>
      </c>
      <c r="C12" s="184"/>
      <c r="D12" s="177"/>
      <c r="E12" s="171"/>
      <c r="F12" s="179"/>
      <c r="G12" s="168"/>
    </row>
    <row r="13" spans="1:8" x14ac:dyDescent="0.2">
      <c r="A13" s="170">
        <v>7</v>
      </c>
      <c r="B13" s="180">
        <f>(37*1.2*2)+(0.62*1.2*4)+(3.1*2.4)</f>
        <v>99.215999999999994</v>
      </c>
      <c r="C13" s="184"/>
      <c r="D13" s="177"/>
      <c r="E13" s="171"/>
      <c r="F13" s="179"/>
      <c r="G13" s="168"/>
    </row>
    <row r="14" spans="1:8" x14ac:dyDescent="0.2">
      <c r="A14" s="170">
        <v>8</v>
      </c>
      <c r="B14" s="180">
        <f>(42*1.2*2)+(0.62*1.2*2)+(3.2*2.4)</f>
        <v>109.96799999999999</v>
      </c>
      <c r="C14" s="184"/>
      <c r="D14" s="177"/>
      <c r="E14" s="171"/>
      <c r="F14" s="179"/>
      <c r="G14" s="168"/>
    </row>
    <row r="15" spans="1:8" x14ac:dyDescent="0.2">
      <c r="A15" s="170">
        <v>9</v>
      </c>
      <c r="B15" s="180">
        <f>(80.4*1.2*2)+(0.62*1.2*6)+(3*2.4)</f>
        <v>204.624</v>
      </c>
      <c r="C15" s="184"/>
      <c r="D15" s="177"/>
      <c r="E15" s="171"/>
      <c r="F15" s="179"/>
      <c r="G15" s="168"/>
    </row>
    <row r="16" spans="1:8" x14ac:dyDescent="0.2">
      <c r="A16" s="170" t="s">
        <v>242</v>
      </c>
      <c r="B16" s="180">
        <v>40.64</v>
      </c>
      <c r="C16" s="184"/>
      <c r="D16" s="177"/>
      <c r="E16" s="171"/>
      <c r="F16" s="179"/>
      <c r="G16" s="168"/>
    </row>
    <row r="17" spans="1:9" x14ac:dyDescent="0.2">
      <c r="A17" s="171" t="s">
        <v>236</v>
      </c>
      <c r="B17" s="180">
        <v>180</v>
      </c>
      <c r="C17" s="184"/>
      <c r="D17" s="177"/>
      <c r="E17" s="171"/>
      <c r="F17" s="179"/>
      <c r="G17" s="168"/>
    </row>
    <row r="18" spans="1:9" x14ac:dyDescent="0.2">
      <c r="A18" s="171" t="s">
        <v>237</v>
      </c>
      <c r="B18" s="180">
        <v>175</v>
      </c>
      <c r="C18" s="184"/>
      <c r="D18" s="177"/>
      <c r="E18" s="171"/>
      <c r="F18" s="179"/>
      <c r="G18" s="168"/>
    </row>
    <row r="19" spans="1:9" ht="15" thickBot="1" x14ac:dyDescent="0.25">
      <c r="A19" s="172" t="s">
        <v>235</v>
      </c>
      <c r="B19" s="181">
        <f>SUM(B7:B18)</f>
        <v>1874.0880000000002</v>
      </c>
      <c r="C19" s="186" t="s">
        <v>235</v>
      </c>
      <c r="D19" s="176">
        <f>SUM(D7:D18)</f>
        <v>724</v>
      </c>
      <c r="E19" s="172" t="s">
        <v>235</v>
      </c>
      <c r="F19" s="181">
        <f>SUM(F7:F18)</f>
        <v>1751.258</v>
      </c>
      <c r="G19" s="168"/>
      <c r="H19" s="182"/>
    </row>
    <row r="20" spans="1:9" ht="15" thickBot="1" x14ac:dyDescent="0.25">
      <c r="A20" s="233" t="s">
        <v>240</v>
      </c>
      <c r="B20" s="234"/>
      <c r="C20" s="238" t="s">
        <v>244</v>
      </c>
      <c r="D20" s="239"/>
      <c r="E20" s="238" t="s">
        <v>257</v>
      </c>
      <c r="F20" s="239"/>
      <c r="G20" s="168"/>
    </row>
    <row r="21" spans="1:9" x14ac:dyDescent="0.2">
      <c r="A21" s="174" t="s">
        <v>238</v>
      </c>
      <c r="B21" s="175" t="s">
        <v>214</v>
      </c>
      <c r="C21" s="169" t="s">
        <v>230</v>
      </c>
      <c r="D21" s="187" t="s">
        <v>231</v>
      </c>
      <c r="E21" s="169" t="s">
        <v>230</v>
      </c>
      <c r="F21" s="187" t="s">
        <v>247</v>
      </c>
      <c r="G21" s="168"/>
      <c r="I21" s="182"/>
    </row>
    <row r="22" spans="1:9" x14ac:dyDescent="0.2">
      <c r="A22" s="171" t="s">
        <v>236</v>
      </c>
      <c r="B22" s="180">
        <v>178</v>
      </c>
      <c r="C22" s="170">
        <v>1</v>
      </c>
      <c r="D22" s="180">
        <f>(65.7*1*2)+(0.62*1.2*2)+(3.3*2.2)</f>
        <v>140.148</v>
      </c>
      <c r="E22" s="170">
        <v>1</v>
      </c>
      <c r="F22" s="180">
        <f>(65.7*4)+(3.3*2)</f>
        <v>269.40000000000003</v>
      </c>
    </row>
    <row r="23" spans="1:9" x14ac:dyDescent="0.2">
      <c r="A23" s="171" t="s">
        <v>237</v>
      </c>
      <c r="B23" s="180">
        <v>174.28</v>
      </c>
      <c r="C23" s="170">
        <v>2</v>
      </c>
      <c r="D23" s="180">
        <f>(146*1*2)+(0.62*1.2*6)+(3.45*2.2)</f>
        <v>304.05399999999997</v>
      </c>
      <c r="E23" s="170">
        <v>2</v>
      </c>
      <c r="F23" s="180">
        <f>(146*4)+(3.45*2)</f>
        <v>590.9</v>
      </c>
      <c r="I23" s="182"/>
    </row>
    <row r="24" spans="1:9" x14ac:dyDescent="0.2">
      <c r="A24" s="171"/>
      <c r="B24" s="179"/>
      <c r="C24" s="170">
        <v>3</v>
      </c>
      <c r="D24" s="180">
        <f>(40.3*1*2)+(3.05*2.2)+(0.62*1.2*2)</f>
        <v>88.797999999999988</v>
      </c>
      <c r="E24" s="170">
        <v>3</v>
      </c>
      <c r="F24" s="180">
        <f>(40.3*4)+(3.05*2)</f>
        <v>167.29999999999998</v>
      </c>
    </row>
    <row r="25" spans="1:9" x14ac:dyDescent="0.2">
      <c r="A25" s="171"/>
      <c r="B25" s="179"/>
      <c r="C25" s="170">
        <v>4</v>
      </c>
      <c r="D25" s="180">
        <f>(87.3*1*2)+(0.62*1.2*6)+(3.1*2.2)</f>
        <v>185.88399999999999</v>
      </c>
      <c r="E25" s="170">
        <v>4</v>
      </c>
      <c r="F25" s="180">
        <f>(87.3*4)+(3.1*2)</f>
        <v>355.4</v>
      </c>
    </row>
    <row r="26" spans="1:9" x14ac:dyDescent="0.2">
      <c r="A26" s="171"/>
      <c r="B26" s="179"/>
      <c r="C26" s="170">
        <v>5</v>
      </c>
      <c r="D26" s="180">
        <f>(67*1*2)+(0.62*1.2*6)+(3.25*2.2)</f>
        <v>145.614</v>
      </c>
      <c r="E26" s="170">
        <v>5</v>
      </c>
      <c r="F26" s="180">
        <f>(67*4)+(3.25*2)</f>
        <v>274.5</v>
      </c>
    </row>
    <row r="27" spans="1:9" x14ac:dyDescent="0.2">
      <c r="A27" s="171"/>
      <c r="B27" s="179"/>
      <c r="C27" s="170">
        <v>6</v>
      </c>
      <c r="D27" s="180">
        <f>(11*1*2)+(3.33*2.2)</f>
        <v>29.326000000000001</v>
      </c>
      <c r="E27" s="170">
        <v>6</v>
      </c>
      <c r="F27" s="180">
        <f>(11*4)+(3.33*2)</f>
        <v>50.66</v>
      </c>
    </row>
    <row r="28" spans="1:9" x14ac:dyDescent="0.2">
      <c r="A28" s="171"/>
      <c r="B28" s="179"/>
      <c r="C28" s="170">
        <v>7</v>
      </c>
      <c r="D28" s="180">
        <f>(37*1*2)+(0.62*1.2*4)+(3.1*2.2)</f>
        <v>83.796000000000006</v>
      </c>
      <c r="E28" s="170">
        <v>7</v>
      </c>
      <c r="F28" s="180">
        <f>(37*4)+(3.1*2)</f>
        <v>154.19999999999999</v>
      </c>
    </row>
    <row r="29" spans="1:9" x14ac:dyDescent="0.2">
      <c r="A29" s="171"/>
      <c r="B29" s="179"/>
      <c r="C29" s="170">
        <v>8</v>
      </c>
      <c r="D29" s="180">
        <f>(42*1*2)+(0.62*1.2*2)+(3.2*2.2)</f>
        <v>92.528000000000006</v>
      </c>
      <c r="E29" s="170">
        <v>8</v>
      </c>
      <c r="F29" s="180">
        <f>(42*4)+(3.2*2)</f>
        <v>174.4</v>
      </c>
    </row>
    <row r="30" spans="1:9" x14ac:dyDescent="0.2">
      <c r="A30" s="171"/>
      <c r="B30" s="179"/>
      <c r="C30" s="170">
        <v>9</v>
      </c>
      <c r="D30" s="180">
        <f>(80.4*1*2)+(0.62*1.2*6)+(3*2.2)</f>
        <v>171.864</v>
      </c>
      <c r="E30" s="170">
        <v>9</v>
      </c>
      <c r="F30" s="180">
        <f>(80.4*4)+(3*2)</f>
        <v>327.60000000000002</v>
      </c>
    </row>
    <row r="31" spans="1:9" x14ac:dyDescent="0.2">
      <c r="A31" s="171"/>
      <c r="B31" s="179"/>
      <c r="C31" s="170">
        <v>10</v>
      </c>
      <c r="D31" s="180">
        <f>F8</f>
        <v>189.6</v>
      </c>
      <c r="E31" s="170">
        <v>10</v>
      </c>
      <c r="F31" s="180">
        <f>(77.54*4)</f>
        <v>310.16000000000003</v>
      </c>
    </row>
    <row r="32" spans="1:9" x14ac:dyDescent="0.2">
      <c r="A32" s="171"/>
      <c r="B32" s="179"/>
      <c r="C32" s="170" t="s">
        <v>245</v>
      </c>
      <c r="D32" s="180">
        <f>221.58*2.2</f>
        <v>487.47600000000006</v>
      </c>
      <c r="E32" s="170" t="s">
        <v>245</v>
      </c>
      <c r="F32" s="180">
        <f>221.58*2</f>
        <v>443.16</v>
      </c>
    </row>
    <row r="33" spans="1:6" x14ac:dyDescent="0.2">
      <c r="A33" s="171"/>
      <c r="B33" s="179"/>
      <c r="C33" s="170" t="s">
        <v>243</v>
      </c>
      <c r="D33" s="180">
        <f>F9</f>
        <v>83.210000000000008</v>
      </c>
      <c r="E33" s="170" t="s">
        <v>243</v>
      </c>
      <c r="F33" s="180">
        <f>69.34*2</f>
        <v>138.68</v>
      </c>
    </row>
    <row r="34" spans="1:6" ht="15" thickBot="1" x14ac:dyDescent="0.25">
      <c r="A34" s="172" t="s">
        <v>235</v>
      </c>
      <c r="B34" s="181">
        <f>SUM(B22:B33)</f>
        <v>352.28</v>
      </c>
      <c r="C34" s="172" t="s">
        <v>235</v>
      </c>
      <c r="D34" s="181">
        <f>SUM(D22:D33)</f>
        <v>2002.2980000000002</v>
      </c>
      <c r="E34" s="172" t="s">
        <v>235</v>
      </c>
      <c r="F34" s="181">
        <f>SUM(F22:F33)</f>
        <v>3256.3599999999997</v>
      </c>
    </row>
  </sheetData>
  <mergeCells count="8">
    <mergeCell ref="A1:F1"/>
    <mergeCell ref="A4:F4"/>
    <mergeCell ref="A2:D2"/>
    <mergeCell ref="E5:F5"/>
    <mergeCell ref="A20:B20"/>
    <mergeCell ref="A3:D3"/>
    <mergeCell ref="C20:D20"/>
    <mergeCell ref="E20:F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tabSelected="1" topLeftCell="A49" workbookViewId="0">
      <selection sqref="A1:J4"/>
    </sheetView>
  </sheetViews>
  <sheetFormatPr defaultRowHeight="14.25" x14ac:dyDescent="0.2"/>
  <cols>
    <col min="1" max="1" width="10.75" style="66" customWidth="1"/>
    <col min="2" max="2" width="11.125" style="3" customWidth="1"/>
    <col min="3" max="3" width="13.25" style="66" bestFit="1" customWidth="1"/>
    <col min="4" max="4" width="77.125" style="3" customWidth="1"/>
    <col min="5" max="5" width="8" style="118" bestFit="1" customWidth="1"/>
    <col min="6" max="6" width="10.5" style="134" customWidth="1"/>
    <col min="7" max="7" width="12.125" style="5" customWidth="1"/>
    <col min="8" max="8" width="12.75" style="5" customWidth="1"/>
    <col min="9" max="9" width="13" style="5" bestFit="1" customWidth="1"/>
    <col min="10" max="10" width="11.5" style="3" customWidth="1"/>
    <col min="11" max="11" width="15.125" style="1" customWidth="1"/>
    <col min="12" max="12" width="12" style="1" bestFit="1" customWidth="1"/>
    <col min="13" max="16384" width="9" style="1"/>
  </cols>
  <sheetData>
    <row r="1" spans="1:12" ht="97.5" customHeight="1" x14ac:dyDescent="0.25">
      <c r="A1" s="220" t="s">
        <v>117</v>
      </c>
      <c r="B1" s="221"/>
      <c r="C1" s="221"/>
      <c r="D1" s="221"/>
      <c r="E1" s="221"/>
      <c r="F1" s="221"/>
      <c r="G1" s="221"/>
      <c r="H1" s="221"/>
      <c r="I1" s="221"/>
      <c r="J1" s="222"/>
    </row>
    <row r="2" spans="1:12" ht="21.75" customHeight="1" x14ac:dyDescent="0.2">
      <c r="A2" s="91" t="s">
        <v>75</v>
      </c>
      <c r="B2" s="92" t="s">
        <v>183</v>
      </c>
      <c r="C2" s="93"/>
      <c r="D2" s="92"/>
      <c r="E2" s="113"/>
      <c r="F2" s="124"/>
      <c r="G2" s="251" t="s">
        <v>157</v>
      </c>
      <c r="H2" s="251"/>
      <c r="I2" s="250" t="s">
        <v>118</v>
      </c>
      <c r="J2" s="250"/>
    </row>
    <row r="3" spans="1:12" ht="21.75" customHeight="1" x14ac:dyDescent="0.2">
      <c r="A3" s="94" t="s">
        <v>78</v>
      </c>
      <c r="B3" s="95" t="s">
        <v>215</v>
      </c>
      <c r="C3" s="96"/>
      <c r="D3" s="95"/>
      <c r="E3" s="114"/>
      <c r="F3" s="125"/>
      <c r="G3" s="252">
        <f>'BDI DES'!I22</f>
        <v>0.28347674918197008</v>
      </c>
      <c r="H3" s="252"/>
      <c r="I3" s="247" t="s">
        <v>213</v>
      </c>
      <c r="J3" s="247"/>
    </row>
    <row r="4" spans="1:12" ht="21.75" customHeight="1" x14ac:dyDescent="0.2">
      <c r="A4" s="97" t="s">
        <v>77</v>
      </c>
      <c r="B4" s="216">
        <f>M.C.!B4</f>
        <v>2002.2980000000002</v>
      </c>
      <c r="C4" s="216" t="str">
        <f>M.C.!C4</f>
        <v>m²</v>
      </c>
      <c r="D4" s="98"/>
      <c r="E4" s="115"/>
      <c r="F4" s="126"/>
      <c r="G4" s="252"/>
      <c r="H4" s="252"/>
      <c r="I4" s="247"/>
      <c r="J4" s="247"/>
    </row>
    <row r="5" spans="1:12" ht="20.25" customHeight="1" x14ac:dyDescent="0.2">
      <c r="A5" s="248" t="s">
        <v>119</v>
      </c>
      <c r="B5" s="249"/>
      <c r="C5" s="249"/>
      <c r="D5" s="249"/>
      <c r="E5" s="249"/>
      <c r="F5" s="249"/>
      <c r="G5" s="249"/>
      <c r="H5" s="249"/>
      <c r="I5" s="249"/>
      <c r="J5" s="249"/>
    </row>
    <row r="6" spans="1:12" s="68" customFormat="1" ht="30" customHeight="1" x14ac:dyDescent="0.2">
      <c r="A6" s="79" t="s">
        <v>0</v>
      </c>
      <c r="B6" s="80" t="s">
        <v>1</v>
      </c>
      <c r="C6" s="142" t="s">
        <v>2</v>
      </c>
      <c r="D6" s="79" t="s">
        <v>3</v>
      </c>
      <c r="E6" s="81" t="s">
        <v>4</v>
      </c>
      <c r="F6" s="127" t="s">
        <v>5</v>
      </c>
      <c r="G6" s="82" t="s">
        <v>6</v>
      </c>
      <c r="H6" s="82" t="s">
        <v>7</v>
      </c>
      <c r="I6" s="82" t="s">
        <v>8</v>
      </c>
      <c r="J6" s="80" t="s">
        <v>9</v>
      </c>
    </row>
    <row r="7" spans="1:12" s="68" customFormat="1" ht="21.75" customHeight="1" x14ac:dyDescent="0.2">
      <c r="A7" s="261" t="s">
        <v>120</v>
      </c>
      <c r="B7" s="262"/>
      <c r="C7" s="262"/>
      <c r="D7" s="262"/>
      <c r="E7" s="262"/>
      <c r="F7" s="262"/>
      <c r="G7" s="262"/>
      <c r="H7" s="262"/>
      <c r="I7" s="259">
        <f>H63</f>
        <v>848181.82999999984</v>
      </c>
      <c r="J7" s="260"/>
    </row>
    <row r="8" spans="1:12" ht="24" customHeight="1" x14ac:dyDescent="0.2">
      <c r="A8" s="84" t="s">
        <v>10</v>
      </c>
      <c r="B8" s="85"/>
      <c r="C8" s="84"/>
      <c r="D8" s="85" t="s">
        <v>11</v>
      </c>
      <c r="E8" s="116"/>
      <c r="F8" s="128"/>
      <c r="G8" s="86"/>
      <c r="H8" s="86"/>
      <c r="I8" s="87">
        <f>TRUNC(SUMPRODUCT(F9:F13,H9:H13),2)</f>
        <v>26779.26</v>
      </c>
      <c r="J8" s="88">
        <f t="shared" ref="J8:J52" si="0">I8/$H$63</f>
        <v>3.1572546183876636E-2</v>
      </c>
      <c r="K8" s="135">
        <f>SUM(I9:I13)</f>
        <v>26779.26</v>
      </c>
      <c r="L8" s="83"/>
    </row>
    <row r="9" spans="1:12" ht="24" customHeight="1" x14ac:dyDescent="0.2">
      <c r="A9" s="69" t="s">
        <v>12</v>
      </c>
      <c r="B9" s="70" t="s">
        <v>13</v>
      </c>
      <c r="C9" s="69" t="s">
        <v>14</v>
      </c>
      <c r="D9" s="71" t="s">
        <v>15</v>
      </c>
      <c r="E9" s="72" t="s">
        <v>16</v>
      </c>
      <c r="F9" s="129">
        <f>M.C.!F8</f>
        <v>90</v>
      </c>
      <c r="G9" s="73">
        <v>102.78</v>
      </c>
      <c r="H9" s="73">
        <f t="shared" ref="H9:H13" si="1">TRUNC(G9+($G$3*G9),2)</f>
        <v>131.91</v>
      </c>
      <c r="I9" s="73">
        <f>TRUNC((F9*H9),2)</f>
        <v>11871.9</v>
      </c>
      <c r="J9" s="74">
        <f t="shared" si="0"/>
        <v>1.3996880833912703E-2</v>
      </c>
    </row>
    <row r="10" spans="1:12" ht="24" customHeight="1" x14ac:dyDescent="0.2">
      <c r="A10" s="69" t="s">
        <v>17</v>
      </c>
      <c r="B10" s="70" t="s">
        <v>18</v>
      </c>
      <c r="C10" s="69" t="s">
        <v>14</v>
      </c>
      <c r="D10" s="71" t="s">
        <v>19</v>
      </c>
      <c r="E10" s="72" t="s">
        <v>16</v>
      </c>
      <c r="F10" s="129">
        <f>M.C.!F9</f>
        <v>288</v>
      </c>
      <c r="G10" s="73">
        <v>26.21</v>
      </c>
      <c r="H10" s="73">
        <f t="shared" si="1"/>
        <v>33.630000000000003</v>
      </c>
      <c r="I10" s="73">
        <f t="shared" ref="I10:I13" si="2">TRUNC((F10*H10),2)</f>
        <v>9685.44</v>
      </c>
      <c r="J10" s="74">
        <f t="shared" si="0"/>
        <v>1.1419060934139561E-2</v>
      </c>
    </row>
    <row r="11" spans="1:12" ht="24" customHeight="1" x14ac:dyDescent="0.2">
      <c r="A11" s="69" t="s">
        <v>20</v>
      </c>
      <c r="B11" s="70" t="s">
        <v>21</v>
      </c>
      <c r="C11" s="69" t="s">
        <v>14</v>
      </c>
      <c r="D11" s="71" t="s">
        <v>22</v>
      </c>
      <c r="E11" s="72" t="s">
        <v>16</v>
      </c>
      <c r="F11" s="129">
        <f>M.C.!F10</f>
        <v>40</v>
      </c>
      <c r="G11" s="73">
        <v>20.04</v>
      </c>
      <c r="H11" s="73">
        <f t="shared" si="1"/>
        <v>25.72</v>
      </c>
      <c r="I11" s="73">
        <f t="shared" si="2"/>
        <v>1028.8</v>
      </c>
      <c r="J11" s="74">
        <f t="shared" si="0"/>
        <v>1.2129474643426401E-3</v>
      </c>
    </row>
    <row r="12" spans="1:12" ht="24" customHeight="1" x14ac:dyDescent="0.2">
      <c r="A12" s="69" t="s">
        <v>23</v>
      </c>
      <c r="B12" s="70" t="s">
        <v>24</v>
      </c>
      <c r="C12" s="69" t="s">
        <v>14</v>
      </c>
      <c r="D12" s="71" t="s">
        <v>25</v>
      </c>
      <c r="E12" s="72" t="s">
        <v>16</v>
      </c>
      <c r="F12" s="129">
        <f>M.C.!F11</f>
        <v>40</v>
      </c>
      <c r="G12" s="73">
        <v>9.86</v>
      </c>
      <c r="H12" s="73">
        <f t="shared" si="1"/>
        <v>12.65</v>
      </c>
      <c r="I12" s="73">
        <f t="shared" si="2"/>
        <v>506</v>
      </c>
      <c r="J12" s="74">
        <f t="shared" si="0"/>
        <v>5.9657019533181945E-4</v>
      </c>
    </row>
    <row r="13" spans="1:12" ht="32.25" customHeight="1" x14ac:dyDescent="0.2">
      <c r="A13" s="69" t="s">
        <v>26</v>
      </c>
      <c r="B13" s="70" t="s">
        <v>27</v>
      </c>
      <c r="C13" s="69" t="s">
        <v>14</v>
      </c>
      <c r="D13" s="71" t="s">
        <v>28</v>
      </c>
      <c r="E13" s="72" t="s">
        <v>29</v>
      </c>
      <c r="F13" s="129">
        <f>M.C.!F12</f>
        <v>36</v>
      </c>
      <c r="G13" s="73">
        <v>79.8</v>
      </c>
      <c r="H13" s="73">
        <f t="shared" si="1"/>
        <v>102.42</v>
      </c>
      <c r="I13" s="73">
        <f t="shared" si="2"/>
        <v>3687.12</v>
      </c>
      <c r="J13" s="74">
        <f t="shared" si="0"/>
        <v>4.347086756149917E-3</v>
      </c>
    </row>
    <row r="14" spans="1:12" ht="24" customHeight="1" x14ac:dyDescent="0.2">
      <c r="A14" s="84" t="s">
        <v>30</v>
      </c>
      <c r="B14" s="85"/>
      <c r="C14" s="84"/>
      <c r="D14" s="85" t="s">
        <v>31</v>
      </c>
      <c r="E14" s="116"/>
      <c r="F14" s="128"/>
      <c r="G14" s="86"/>
      <c r="H14" s="86"/>
      <c r="I14" s="87">
        <f>TRUNC(SUMPRODUCT(F15:F16,H15:H16),2)</f>
        <v>9695.0400000000009</v>
      </c>
      <c r="J14" s="88">
        <f t="shared" si="0"/>
        <v>1.1430379261956133E-2</v>
      </c>
      <c r="K14" s="135">
        <f>SUM(I15:I16)</f>
        <v>9695.0400000000009</v>
      </c>
    </row>
    <row r="15" spans="1:12" ht="30.75" customHeight="1" x14ac:dyDescent="0.2">
      <c r="A15" s="69" t="s">
        <v>32</v>
      </c>
      <c r="B15" s="69" t="s">
        <v>178</v>
      </c>
      <c r="C15" s="69" t="s">
        <v>127</v>
      </c>
      <c r="D15" s="71" t="s">
        <v>33</v>
      </c>
      <c r="E15" s="72" t="s">
        <v>34</v>
      </c>
      <c r="F15" s="129">
        <f>M.C.!F14</f>
        <v>8</v>
      </c>
      <c r="G15" s="73">
        <v>321.72000000000003</v>
      </c>
      <c r="H15" s="73">
        <f>TRUNC(G15+($G$3*G15),2)</f>
        <v>412.92</v>
      </c>
      <c r="I15" s="73">
        <f>TRUNC((F15*H15),2)</f>
        <v>3303.36</v>
      </c>
      <c r="J15" s="74">
        <f t="shared" si="0"/>
        <v>3.894636601682449E-3</v>
      </c>
    </row>
    <row r="16" spans="1:12" ht="33" customHeight="1" x14ac:dyDescent="0.2">
      <c r="A16" s="75" t="s">
        <v>35</v>
      </c>
      <c r="B16" s="76" t="s">
        <v>36</v>
      </c>
      <c r="C16" s="75" t="s">
        <v>14</v>
      </c>
      <c r="D16" s="77" t="s">
        <v>37</v>
      </c>
      <c r="E16" s="90" t="s">
        <v>121</v>
      </c>
      <c r="F16" s="129">
        <f>M.C.!F15</f>
        <v>6</v>
      </c>
      <c r="G16" s="78">
        <v>830</v>
      </c>
      <c r="H16" s="73">
        <f>TRUNC(G16+($G$3*G16),2)</f>
        <v>1065.28</v>
      </c>
      <c r="I16" s="73">
        <f t="shared" ref="I16" si="3">TRUNC((F16*H16),2)</f>
        <v>6391.68</v>
      </c>
      <c r="J16" s="74">
        <f t="shared" si="0"/>
        <v>7.5357426602736836E-3</v>
      </c>
    </row>
    <row r="17" spans="1:11" ht="24" customHeight="1" x14ac:dyDescent="0.2">
      <c r="A17" s="84" t="s">
        <v>38</v>
      </c>
      <c r="B17" s="85"/>
      <c r="C17" s="84"/>
      <c r="D17" s="85" t="s">
        <v>39</v>
      </c>
      <c r="E17" s="116"/>
      <c r="F17" s="128"/>
      <c r="G17" s="86"/>
      <c r="H17" s="89"/>
      <c r="I17" s="87">
        <f>TRUNC(SUMPRODUCT(F18:F20,H18:H20),2)</f>
        <v>19829.87</v>
      </c>
      <c r="J17" s="88">
        <f t="shared" si="0"/>
        <v>2.3379267627084161E-2</v>
      </c>
      <c r="K17" s="135">
        <f>SUM(I18:I20)</f>
        <v>19829.87</v>
      </c>
    </row>
    <row r="18" spans="1:11" ht="34.5" customHeight="1" x14ac:dyDescent="0.2">
      <c r="A18" s="69" t="s">
        <v>40</v>
      </c>
      <c r="B18" s="70" t="s">
        <v>41</v>
      </c>
      <c r="C18" s="69" t="s">
        <v>14</v>
      </c>
      <c r="D18" s="71" t="s">
        <v>42</v>
      </c>
      <c r="E18" s="72" t="s">
        <v>34</v>
      </c>
      <c r="F18" s="129">
        <f>M.C.!F17</f>
        <v>1874.0880000000002</v>
      </c>
      <c r="G18" s="73">
        <v>0.34</v>
      </c>
      <c r="H18" s="73">
        <f>TRUNC(G18+($G$3*G18),2)</f>
        <v>0.43</v>
      </c>
      <c r="I18" s="73">
        <f>TRUNC((F18*H18),2)</f>
        <v>805.85</v>
      </c>
      <c r="J18" s="74">
        <f t="shared" si="0"/>
        <v>9.5009109072756275E-4</v>
      </c>
    </row>
    <row r="19" spans="1:11" ht="34.5" customHeight="1" x14ac:dyDescent="0.2">
      <c r="A19" s="69" t="s">
        <v>43</v>
      </c>
      <c r="B19" s="70">
        <v>97636</v>
      </c>
      <c r="C19" s="69" t="s">
        <v>14</v>
      </c>
      <c r="D19" s="71" t="s">
        <v>203</v>
      </c>
      <c r="E19" s="72" t="s">
        <v>34</v>
      </c>
      <c r="F19" s="129">
        <f>M.C.!F18</f>
        <v>724</v>
      </c>
      <c r="G19" s="73">
        <v>18.02</v>
      </c>
      <c r="H19" s="73">
        <f>TRUNC(G19+($G$3*G19),2)</f>
        <v>23.12</v>
      </c>
      <c r="I19" s="73">
        <f t="shared" ref="I19:I35" si="4">TRUNC((F19*H19),2)</f>
        <v>16738.88</v>
      </c>
      <c r="J19" s="74">
        <f t="shared" si="0"/>
        <v>1.9735013658568945E-2</v>
      </c>
    </row>
    <row r="20" spans="1:11" ht="24" customHeight="1" x14ac:dyDescent="0.2">
      <c r="A20" s="69" t="s">
        <v>44</v>
      </c>
      <c r="B20" s="69" t="s">
        <v>177</v>
      </c>
      <c r="C20" s="69" t="s">
        <v>127</v>
      </c>
      <c r="D20" s="71" t="s">
        <v>45</v>
      </c>
      <c r="E20" s="90" t="s">
        <v>67</v>
      </c>
      <c r="F20" s="129">
        <f>M.C.!F19</f>
        <v>34</v>
      </c>
      <c r="G20" s="73">
        <v>52.37</v>
      </c>
      <c r="H20" s="73">
        <f>TRUNC(G20+($G$3*G20),2)</f>
        <v>67.209999999999994</v>
      </c>
      <c r="I20" s="73">
        <f t="shared" si="4"/>
        <v>2285.14</v>
      </c>
      <c r="J20" s="74">
        <f t="shared" si="0"/>
        <v>2.6941628777876559E-3</v>
      </c>
    </row>
    <row r="21" spans="1:11" ht="24" customHeight="1" x14ac:dyDescent="0.2">
      <c r="A21" s="84" t="s">
        <v>51</v>
      </c>
      <c r="B21" s="85"/>
      <c r="C21" s="84"/>
      <c r="D21" s="85" t="s">
        <v>52</v>
      </c>
      <c r="E21" s="116"/>
      <c r="F21" s="128"/>
      <c r="G21" s="86"/>
      <c r="H21" s="89"/>
      <c r="I21" s="87">
        <f>TRUNC(SUMPRODUCT(F22:F24,H22:H24),2)</f>
        <v>204559.8</v>
      </c>
      <c r="J21" s="88">
        <f t="shared" si="0"/>
        <v>0.24117446609296031</v>
      </c>
      <c r="K21" s="135">
        <f>SUM(I22:I24)</f>
        <v>204559.8</v>
      </c>
    </row>
    <row r="22" spans="1:11" ht="36.75" customHeight="1" x14ac:dyDescent="0.2">
      <c r="A22" s="69" t="s">
        <v>53</v>
      </c>
      <c r="B22" s="70" t="s">
        <v>54</v>
      </c>
      <c r="C22" s="69" t="s">
        <v>14</v>
      </c>
      <c r="D22" s="71" t="s">
        <v>55</v>
      </c>
      <c r="E22" s="72" t="s">
        <v>34</v>
      </c>
      <c r="F22" s="129">
        <f>M.C.!F21</f>
        <v>1751.258</v>
      </c>
      <c r="G22" s="73">
        <v>0.52</v>
      </c>
      <c r="H22" s="73">
        <f>TRUNC(G22+($G$3*G22),2)</f>
        <v>0.66</v>
      </c>
      <c r="I22" s="73">
        <f t="shared" si="4"/>
        <v>1155.83</v>
      </c>
      <c r="J22" s="74">
        <f t="shared" si="0"/>
        <v>1.3627148791904682E-3</v>
      </c>
    </row>
    <row r="23" spans="1:11" ht="48" customHeight="1" x14ac:dyDescent="0.2">
      <c r="A23" s="69" t="s">
        <v>56</v>
      </c>
      <c r="B23" s="70" t="s">
        <v>57</v>
      </c>
      <c r="C23" s="69" t="s">
        <v>14</v>
      </c>
      <c r="D23" s="71" t="s">
        <v>58</v>
      </c>
      <c r="E23" s="72" t="s">
        <v>34</v>
      </c>
      <c r="F23" s="129">
        <f>M.C.!F22</f>
        <v>1751.258</v>
      </c>
      <c r="G23" s="73">
        <v>87.86</v>
      </c>
      <c r="H23" s="73">
        <f>TRUNC(G23+($G$3*G23),2)</f>
        <v>112.76</v>
      </c>
      <c r="I23" s="73">
        <f t="shared" si="4"/>
        <v>197471.85</v>
      </c>
      <c r="J23" s="74">
        <f t="shared" si="0"/>
        <v>0.23281782633801534</v>
      </c>
    </row>
    <row r="24" spans="1:11" ht="33.75" customHeight="1" x14ac:dyDescent="0.2">
      <c r="A24" s="69" t="s">
        <v>165</v>
      </c>
      <c r="B24" s="70">
        <v>94263</v>
      </c>
      <c r="C24" s="69" t="s">
        <v>14</v>
      </c>
      <c r="D24" s="71" t="s">
        <v>166</v>
      </c>
      <c r="E24" s="90" t="s">
        <v>67</v>
      </c>
      <c r="F24" s="129">
        <f>M.C.!F23</f>
        <v>158.19</v>
      </c>
      <c r="G24" s="73">
        <v>29.22</v>
      </c>
      <c r="H24" s="73">
        <f>TRUNC(G24+($G$3*G24),2)</f>
        <v>37.5</v>
      </c>
      <c r="I24" s="73">
        <f t="shared" ref="I24" si="5">TRUNC((F24*H24),2)</f>
        <v>5932.12</v>
      </c>
      <c r="J24" s="74">
        <f t="shared" si="0"/>
        <v>6.9939248757545317E-3</v>
      </c>
    </row>
    <row r="25" spans="1:11" ht="24" customHeight="1" x14ac:dyDescent="0.2">
      <c r="A25" s="84" t="s">
        <v>59</v>
      </c>
      <c r="B25" s="85"/>
      <c r="C25" s="84"/>
      <c r="D25" s="85" t="s">
        <v>60</v>
      </c>
      <c r="E25" s="116"/>
      <c r="F25" s="128"/>
      <c r="G25" s="86"/>
      <c r="H25" s="89"/>
      <c r="I25" s="87">
        <f>TRUNC(SUMPRODUCT(F26:F33,H26:H33),2)</f>
        <v>143929.21</v>
      </c>
      <c r="J25" s="88">
        <f t="shared" si="0"/>
        <v>0.16969145637085861</v>
      </c>
      <c r="K25" s="135">
        <f>SUM(I26:I33)</f>
        <v>143929.20000000001</v>
      </c>
    </row>
    <row r="26" spans="1:11" ht="35.25" customHeight="1" x14ac:dyDescent="0.2">
      <c r="A26" s="69" t="s">
        <v>61</v>
      </c>
      <c r="B26" s="70" t="s">
        <v>54</v>
      </c>
      <c r="C26" s="69" t="s">
        <v>14</v>
      </c>
      <c r="D26" s="71" t="s">
        <v>55</v>
      </c>
      <c r="E26" s="72" t="s">
        <v>34</v>
      </c>
      <c r="F26" s="129">
        <f>M.C.!F25</f>
        <v>352.28</v>
      </c>
      <c r="G26" s="73">
        <v>0.52</v>
      </c>
      <c r="H26" s="73">
        <f t="shared" ref="H26:H33" si="6">TRUNC(G26+($G$3*G26),2)</f>
        <v>0.66</v>
      </c>
      <c r="I26" s="73">
        <f t="shared" si="4"/>
        <v>232.5</v>
      </c>
      <c r="J26" s="74">
        <f t="shared" si="0"/>
        <v>2.7411575180760479E-4</v>
      </c>
    </row>
    <row r="27" spans="1:11" ht="36" customHeight="1" x14ac:dyDescent="0.2">
      <c r="A27" s="69" t="s">
        <v>207</v>
      </c>
      <c r="B27" s="70" t="s">
        <v>62</v>
      </c>
      <c r="C27" s="69" t="s">
        <v>14</v>
      </c>
      <c r="D27" s="71" t="s">
        <v>63</v>
      </c>
      <c r="E27" s="72" t="s">
        <v>34</v>
      </c>
      <c r="F27" s="129">
        <f>M.C.!F26</f>
        <v>352.28</v>
      </c>
      <c r="G27" s="73">
        <v>63.6</v>
      </c>
      <c r="H27" s="73">
        <f t="shared" si="6"/>
        <v>81.62</v>
      </c>
      <c r="I27" s="73">
        <f t="shared" si="4"/>
        <v>28753.09</v>
      </c>
      <c r="J27" s="74">
        <f t="shared" si="0"/>
        <v>3.3899676912437518E-2</v>
      </c>
    </row>
    <row r="28" spans="1:11" ht="36" customHeight="1" x14ac:dyDescent="0.2">
      <c r="A28" s="69" t="s">
        <v>208</v>
      </c>
      <c r="B28" s="70" t="s">
        <v>64</v>
      </c>
      <c r="C28" s="69" t="s">
        <v>14</v>
      </c>
      <c r="D28" s="71" t="s">
        <v>65</v>
      </c>
      <c r="E28" s="72" t="s">
        <v>34</v>
      </c>
      <c r="F28" s="129">
        <f>M.C.!F27</f>
        <v>154</v>
      </c>
      <c r="G28" s="73">
        <v>259.92</v>
      </c>
      <c r="H28" s="73">
        <f t="shared" si="6"/>
        <v>333.6</v>
      </c>
      <c r="I28" s="73">
        <f t="shared" si="4"/>
        <v>51374.400000000001</v>
      </c>
      <c r="J28" s="74">
        <f t="shared" si="0"/>
        <v>6.0570031310385429E-2</v>
      </c>
    </row>
    <row r="29" spans="1:11" s="137" customFormat="1" ht="32.25" customHeight="1" x14ac:dyDescent="0.2">
      <c r="A29" s="69" t="s">
        <v>174</v>
      </c>
      <c r="B29" s="154" t="s">
        <v>193</v>
      </c>
      <c r="C29" s="69" t="s">
        <v>127</v>
      </c>
      <c r="D29" s="153" t="s">
        <v>192</v>
      </c>
      <c r="E29" s="90" t="s">
        <v>122</v>
      </c>
      <c r="F29" s="129">
        <f>M.C.!F28</f>
        <v>20</v>
      </c>
      <c r="G29" s="73">
        <v>480.43</v>
      </c>
      <c r="H29" s="73">
        <f t="shared" si="6"/>
        <v>616.62</v>
      </c>
      <c r="I29" s="73">
        <f t="shared" si="4"/>
        <v>12332.4</v>
      </c>
      <c r="J29" s="74">
        <f t="shared" si="0"/>
        <v>1.4539806871363893E-2</v>
      </c>
    </row>
    <row r="30" spans="1:11" ht="57" customHeight="1" x14ac:dyDescent="0.2">
      <c r="A30" s="69" t="s">
        <v>176</v>
      </c>
      <c r="B30" s="143" t="s">
        <v>194</v>
      </c>
      <c r="C30" s="69" t="s">
        <v>127</v>
      </c>
      <c r="D30" s="138" t="s">
        <v>175</v>
      </c>
      <c r="E30" s="90" t="s">
        <v>122</v>
      </c>
      <c r="F30" s="129">
        <f>M.C.!F29</f>
        <v>28</v>
      </c>
      <c r="G30" s="73">
        <v>812.73</v>
      </c>
      <c r="H30" s="73">
        <f t="shared" si="6"/>
        <v>1043.1199999999999</v>
      </c>
      <c r="I30" s="73">
        <f t="shared" si="4"/>
        <v>29207.360000000001</v>
      </c>
      <c r="J30" s="74">
        <f t="shared" si="0"/>
        <v>3.4435257826732749E-2</v>
      </c>
    </row>
    <row r="31" spans="1:11" ht="27" customHeight="1" x14ac:dyDescent="0.2">
      <c r="A31" s="69" t="s">
        <v>209</v>
      </c>
      <c r="B31" s="143">
        <v>102233</v>
      </c>
      <c r="C31" s="69" t="s">
        <v>14</v>
      </c>
      <c r="D31" s="138" t="s">
        <v>211</v>
      </c>
      <c r="E31" s="90" t="s">
        <v>34</v>
      </c>
      <c r="F31" s="129">
        <f>M.C.!F30</f>
        <v>184.8</v>
      </c>
      <c r="G31" s="73">
        <v>9.66</v>
      </c>
      <c r="H31" s="73">
        <f t="shared" si="6"/>
        <v>12.39</v>
      </c>
      <c r="I31" s="73">
        <f>TRUNC((F31*H31),2)</f>
        <v>2289.67</v>
      </c>
      <c r="J31" s="74">
        <f t="shared" si="0"/>
        <v>2.699503713726101E-3</v>
      </c>
    </row>
    <row r="32" spans="1:11" ht="33" customHeight="1" x14ac:dyDescent="0.2">
      <c r="A32" s="69"/>
      <c r="B32" s="143">
        <v>102203</v>
      </c>
      <c r="C32" s="69" t="s">
        <v>14</v>
      </c>
      <c r="D32" s="138" t="s">
        <v>212</v>
      </c>
      <c r="E32" s="90" t="s">
        <v>34</v>
      </c>
      <c r="F32" s="129">
        <f>M.C.!F31</f>
        <v>184.8</v>
      </c>
      <c r="G32" s="73">
        <v>7.86</v>
      </c>
      <c r="H32" s="73">
        <f t="shared" si="6"/>
        <v>10.08</v>
      </c>
      <c r="I32" s="73">
        <f>TRUNC((F32*H32),2)</f>
        <v>1862.78</v>
      </c>
      <c r="J32" s="74">
        <f t="shared" si="0"/>
        <v>2.1962036135577206E-3</v>
      </c>
    </row>
    <row r="33" spans="1:12" ht="24" customHeight="1" x14ac:dyDescent="0.2">
      <c r="A33" s="69" t="s">
        <v>210</v>
      </c>
      <c r="B33" s="69" t="s">
        <v>147</v>
      </c>
      <c r="C33" s="69" t="s">
        <v>127</v>
      </c>
      <c r="D33" s="71" t="s">
        <v>66</v>
      </c>
      <c r="E33" s="72" t="s">
        <v>67</v>
      </c>
      <c r="F33" s="129">
        <f>M.C.!F32</f>
        <v>75</v>
      </c>
      <c r="G33" s="73">
        <v>185.72</v>
      </c>
      <c r="H33" s="73">
        <f t="shared" si="6"/>
        <v>238.36</v>
      </c>
      <c r="I33" s="73">
        <f t="shared" si="4"/>
        <v>17877</v>
      </c>
      <c r="J33" s="74">
        <f t="shared" si="0"/>
        <v>2.1076848580922798E-2</v>
      </c>
    </row>
    <row r="34" spans="1:12" ht="24" customHeight="1" x14ac:dyDescent="0.2">
      <c r="A34" s="84" t="s">
        <v>68</v>
      </c>
      <c r="B34" s="85"/>
      <c r="C34" s="84"/>
      <c r="D34" s="85" t="s">
        <v>69</v>
      </c>
      <c r="E34" s="116"/>
      <c r="F34" s="128"/>
      <c r="G34" s="86"/>
      <c r="H34" s="86"/>
      <c r="I34" s="87">
        <f>TRUNC(SUMPRODUCT(F35:F46,H35:H46),2)</f>
        <v>219659.36</v>
      </c>
      <c r="J34" s="88">
        <f t="shared" si="0"/>
        <v>0.25897673379775188</v>
      </c>
      <c r="K34" s="135">
        <f>SUM(I35:I46)</f>
        <v>219659.36000000002</v>
      </c>
    </row>
    <row r="35" spans="1:12" s="107" customFormat="1" ht="70.5" customHeight="1" x14ac:dyDescent="0.2">
      <c r="A35" s="103" t="s">
        <v>97</v>
      </c>
      <c r="B35" s="103" t="s">
        <v>168</v>
      </c>
      <c r="C35" s="103" t="s">
        <v>127</v>
      </c>
      <c r="D35" s="102" t="s">
        <v>164</v>
      </c>
      <c r="E35" s="108" t="s">
        <v>128</v>
      </c>
      <c r="F35" s="131">
        <f>M.C.!F34</f>
        <v>1</v>
      </c>
      <c r="G35" s="104">
        <v>7021.18</v>
      </c>
      <c r="H35" s="105">
        <f>TRUNC(G35+($G$3*G35),2)</f>
        <v>9011.52</v>
      </c>
      <c r="I35" s="105">
        <f t="shared" si="4"/>
        <v>9011.52</v>
      </c>
      <c r="J35" s="106">
        <f t="shared" si="0"/>
        <v>1.0624514321416203E-2</v>
      </c>
    </row>
    <row r="36" spans="1:12" s="107" customFormat="1" ht="24.75" customHeight="1" x14ac:dyDescent="0.2">
      <c r="A36" s="103" t="s">
        <v>99</v>
      </c>
      <c r="B36" s="103" t="s">
        <v>148</v>
      </c>
      <c r="C36" s="103" t="s">
        <v>127</v>
      </c>
      <c r="D36" s="102" t="s">
        <v>135</v>
      </c>
      <c r="E36" s="108" t="s">
        <v>128</v>
      </c>
      <c r="F36" s="131">
        <f>M.C.!F35</f>
        <v>1</v>
      </c>
      <c r="G36" s="104">
        <v>123.05</v>
      </c>
      <c r="H36" s="105">
        <f t="shared" ref="H36:H46" si="7">TRUNC(G36+($G$3*G36),2)</f>
        <v>157.93</v>
      </c>
      <c r="I36" s="105">
        <f t="shared" ref="I36:I43" si="8">TRUNC((F36*H36),2)</f>
        <v>157.93</v>
      </c>
      <c r="J36" s="106">
        <f t="shared" si="0"/>
        <v>1.8619828250741947E-4</v>
      </c>
    </row>
    <row r="37" spans="1:12" s="123" customFormat="1" ht="33" customHeight="1" x14ac:dyDescent="0.2">
      <c r="A37" s="103" t="s">
        <v>101</v>
      </c>
      <c r="B37" s="103">
        <v>91931</v>
      </c>
      <c r="C37" s="103" t="s">
        <v>14</v>
      </c>
      <c r="D37" s="122" t="s">
        <v>136</v>
      </c>
      <c r="E37" s="108" t="s">
        <v>67</v>
      </c>
      <c r="F37" s="131">
        <f>M.C.!F36</f>
        <v>2800</v>
      </c>
      <c r="G37" s="104">
        <v>9.3000000000000007</v>
      </c>
      <c r="H37" s="105">
        <f t="shared" si="7"/>
        <v>11.93</v>
      </c>
      <c r="I37" s="105">
        <f t="shared" si="8"/>
        <v>33404</v>
      </c>
      <c r="J37" s="106">
        <f t="shared" si="0"/>
        <v>3.9383064831747229E-2</v>
      </c>
    </row>
    <row r="38" spans="1:12" s="107" customFormat="1" ht="33" customHeight="1" x14ac:dyDescent="0.2">
      <c r="A38" s="103" t="s">
        <v>103</v>
      </c>
      <c r="B38" s="103">
        <v>91867</v>
      </c>
      <c r="C38" s="103" t="s">
        <v>14</v>
      </c>
      <c r="D38" s="102" t="s">
        <v>137</v>
      </c>
      <c r="E38" s="108" t="s">
        <v>67</v>
      </c>
      <c r="F38" s="131">
        <f>M.C.!F37</f>
        <v>800</v>
      </c>
      <c r="G38" s="104">
        <v>10.88</v>
      </c>
      <c r="H38" s="105">
        <f t="shared" si="7"/>
        <v>13.96</v>
      </c>
      <c r="I38" s="105">
        <f t="shared" si="8"/>
        <v>11168</v>
      </c>
      <c r="J38" s="106">
        <f t="shared" si="0"/>
        <v>1.3166988026612174E-2</v>
      </c>
    </row>
    <row r="39" spans="1:12" s="107" customFormat="1" ht="33" customHeight="1" x14ac:dyDescent="0.2">
      <c r="A39" s="103" t="s">
        <v>129</v>
      </c>
      <c r="B39" s="103">
        <v>91908</v>
      </c>
      <c r="C39" s="103" t="s">
        <v>14</v>
      </c>
      <c r="D39" s="102" t="s">
        <v>138</v>
      </c>
      <c r="E39" s="108" t="s">
        <v>122</v>
      </c>
      <c r="F39" s="131">
        <f>M.C.!F38</f>
        <v>1</v>
      </c>
      <c r="G39" s="104">
        <v>19.27</v>
      </c>
      <c r="H39" s="105">
        <f t="shared" si="7"/>
        <v>24.73</v>
      </c>
      <c r="I39" s="105">
        <f t="shared" si="8"/>
        <v>24.73</v>
      </c>
      <c r="J39" s="106">
        <f t="shared" si="0"/>
        <v>2.9156484052482006E-5</v>
      </c>
    </row>
    <row r="40" spans="1:12" s="107" customFormat="1" ht="33" customHeight="1" x14ac:dyDescent="0.2">
      <c r="A40" s="103" t="s">
        <v>130</v>
      </c>
      <c r="B40" s="103">
        <v>93016</v>
      </c>
      <c r="C40" s="103" t="s">
        <v>14</v>
      </c>
      <c r="D40" s="102" t="s">
        <v>140</v>
      </c>
      <c r="E40" s="108" t="s">
        <v>122</v>
      </c>
      <c r="F40" s="131">
        <f>M.C.!F39</f>
        <v>1</v>
      </c>
      <c r="G40" s="104">
        <v>35.83</v>
      </c>
      <c r="H40" s="105">
        <f t="shared" si="7"/>
        <v>45.98</v>
      </c>
      <c r="I40" s="105">
        <f t="shared" si="8"/>
        <v>45.98</v>
      </c>
      <c r="J40" s="106">
        <f t="shared" si="0"/>
        <v>5.4210074271456638E-5</v>
      </c>
    </row>
    <row r="41" spans="1:12" s="107" customFormat="1" ht="23.25" customHeight="1" x14ac:dyDescent="0.2">
      <c r="A41" s="103" t="s">
        <v>131</v>
      </c>
      <c r="B41" s="103">
        <v>93358</v>
      </c>
      <c r="C41" s="103" t="s">
        <v>14</v>
      </c>
      <c r="D41" s="102" t="s">
        <v>141</v>
      </c>
      <c r="E41" s="108" t="s">
        <v>48</v>
      </c>
      <c r="F41" s="131">
        <f>M.C.!F40</f>
        <v>8</v>
      </c>
      <c r="G41" s="104">
        <v>64.48</v>
      </c>
      <c r="H41" s="105">
        <f t="shared" si="7"/>
        <v>82.75</v>
      </c>
      <c r="I41" s="105">
        <f t="shared" si="8"/>
        <v>662</v>
      </c>
      <c r="J41" s="106">
        <f t="shared" si="0"/>
        <v>7.8049302235111558E-4</v>
      </c>
    </row>
    <row r="42" spans="1:12" s="107" customFormat="1" ht="24" customHeight="1" x14ac:dyDescent="0.2">
      <c r="A42" s="103" t="s">
        <v>132</v>
      </c>
      <c r="B42" s="103">
        <v>96995</v>
      </c>
      <c r="C42" s="103" t="s">
        <v>14</v>
      </c>
      <c r="D42" s="102" t="s">
        <v>139</v>
      </c>
      <c r="E42" s="108" t="s">
        <v>48</v>
      </c>
      <c r="F42" s="131">
        <f>M.C.!F41</f>
        <v>4</v>
      </c>
      <c r="G42" s="104">
        <v>39.090000000000003</v>
      </c>
      <c r="H42" s="105">
        <f t="shared" si="7"/>
        <v>50.17</v>
      </c>
      <c r="I42" s="105">
        <f t="shared" si="8"/>
        <v>200.68</v>
      </c>
      <c r="J42" s="106">
        <f t="shared" si="0"/>
        <v>2.3660021106559196E-4</v>
      </c>
    </row>
    <row r="43" spans="1:12" s="107" customFormat="1" ht="33.75" customHeight="1" x14ac:dyDescent="0.2">
      <c r="A43" s="103" t="s">
        <v>133</v>
      </c>
      <c r="B43" s="103">
        <v>97886</v>
      </c>
      <c r="C43" s="103" t="s">
        <v>14</v>
      </c>
      <c r="D43" s="102" t="s">
        <v>143</v>
      </c>
      <c r="E43" s="108" t="s">
        <v>122</v>
      </c>
      <c r="F43" s="131">
        <f>M.C.!F42</f>
        <v>24</v>
      </c>
      <c r="G43" s="104">
        <v>143.19999999999999</v>
      </c>
      <c r="H43" s="105">
        <f t="shared" si="7"/>
        <v>183.79</v>
      </c>
      <c r="I43" s="105">
        <f t="shared" si="8"/>
        <v>4410.96</v>
      </c>
      <c r="J43" s="106">
        <f t="shared" si="0"/>
        <v>5.2004886735194517E-3</v>
      </c>
    </row>
    <row r="44" spans="1:12" s="107" customFormat="1" ht="33.75" customHeight="1" x14ac:dyDescent="0.2">
      <c r="A44" s="103" t="s">
        <v>134</v>
      </c>
      <c r="B44" s="103">
        <v>101659</v>
      </c>
      <c r="C44" s="103" t="s">
        <v>14</v>
      </c>
      <c r="D44" s="102" t="s">
        <v>142</v>
      </c>
      <c r="E44" s="108" t="s">
        <v>122</v>
      </c>
      <c r="F44" s="131">
        <f>M.C.!F43</f>
        <v>56</v>
      </c>
      <c r="G44" s="104">
        <v>1059.96</v>
      </c>
      <c r="H44" s="105">
        <f t="shared" si="7"/>
        <v>1360.43</v>
      </c>
      <c r="I44" s="105">
        <f t="shared" ref="I44:I45" si="9">TRUNC((F44*H44),2)</f>
        <v>76184.08</v>
      </c>
      <c r="J44" s="106">
        <f t="shared" si="0"/>
        <v>8.9820457483744981E-2</v>
      </c>
    </row>
    <row r="45" spans="1:12" s="107" customFormat="1" ht="35.25" customHeight="1" x14ac:dyDescent="0.2">
      <c r="A45" s="103" t="s">
        <v>145</v>
      </c>
      <c r="B45" s="103" t="s">
        <v>167</v>
      </c>
      <c r="C45" s="103" t="s">
        <v>127</v>
      </c>
      <c r="D45" s="102" t="s">
        <v>205</v>
      </c>
      <c r="E45" s="108" t="s">
        <v>122</v>
      </c>
      <c r="F45" s="131">
        <f>M.C.!F44</f>
        <v>28</v>
      </c>
      <c r="G45" s="104">
        <v>2113.36</v>
      </c>
      <c r="H45" s="105">
        <f t="shared" si="7"/>
        <v>2712.44</v>
      </c>
      <c r="I45" s="105">
        <f t="shared" si="9"/>
        <v>75948.320000000007</v>
      </c>
      <c r="J45" s="106">
        <f t="shared" si="0"/>
        <v>8.9542498216449676E-2</v>
      </c>
      <c r="K45" s="136"/>
      <c r="L45" s="136"/>
    </row>
    <row r="46" spans="1:12" s="107" customFormat="1" ht="37.5" customHeight="1" x14ac:dyDescent="0.2">
      <c r="A46" s="103" t="s">
        <v>146</v>
      </c>
      <c r="B46" s="103" t="s">
        <v>149</v>
      </c>
      <c r="C46" s="103" t="s">
        <v>127</v>
      </c>
      <c r="D46" s="102" t="s">
        <v>144</v>
      </c>
      <c r="E46" s="108" t="s">
        <v>122</v>
      </c>
      <c r="F46" s="131">
        <f>M.C.!F45</f>
        <v>84</v>
      </c>
      <c r="G46" s="104">
        <v>78.3</v>
      </c>
      <c r="H46" s="105">
        <f t="shared" si="7"/>
        <v>100.49</v>
      </c>
      <c r="I46" s="105">
        <f>TRUNC((F46*H46),2)</f>
        <v>8441.16</v>
      </c>
      <c r="J46" s="106">
        <f t="shared" si="0"/>
        <v>9.9520641700141122E-3</v>
      </c>
    </row>
    <row r="47" spans="1:12" ht="24" customHeight="1" x14ac:dyDescent="0.2">
      <c r="A47" s="109" t="s">
        <v>70</v>
      </c>
      <c r="B47" s="110"/>
      <c r="C47" s="109"/>
      <c r="D47" s="110" t="s">
        <v>71</v>
      </c>
      <c r="E47" s="117"/>
      <c r="F47" s="132"/>
      <c r="G47" s="111"/>
      <c r="H47" s="111"/>
      <c r="I47" s="87">
        <f>TRUNC(SUMPRODUCT(F48:F52,H48:H52),2)</f>
        <v>52376.86</v>
      </c>
      <c r="J47" s="88">
        <f t="shared" si="0"/>
        <v>6.1751924112781346E-2</v>
      </c>
      <c r="K47" s="135">
        <f>SUM(I48:I52)</f>
        <v>52376.859999999993</v>
      </c>
    </row>
    <row r="48" spans="1:12" s="101" customFormat="1" ht="21.75" customHeight="1" x14ac:dyDescent="0.2">
      <c r="A48" s="103" t="s">
        <v>150</v>
      </c>
      <c r="B48" s="69">
        <v>98509</v>
      </c>
      <c r="C48" s="103" t="s">
        <v>14</v>
      </c>
      <c r="D48" s="71" t="s">
        <v>151</v>
      </c>
      <c r="E48" s="108" t="s">
        <v>122</v>
      </c>
      <c r="F48" s="131">
        <f>M.C.!F47</f>
        <v>400</v>
      </c>
      <c r="G48" s="104">
        <v>48.41</v>
      </c>
      <c r="H48" s="105">
        <f t="shared" ref="H48:H52" si="10">TRUNC(G48+($G$3*G48),2)</f>
        <v>62.13</v>
      </c>
      <c r="I48" s="105">
        <f t="shared" ref="I48:I51" si="11">TRUNC((F48*H48),2)</f>
        <v>24852</v>
      </c>
      <c r="J48" s="106">
        <f t="shared" si="0"/>
        <v>2.9300321135150943E-2</v>
      </c>
    </row>
    <row r="49" spans="1:17" s="101" customFormat="1" ht="21.75" customHeight="1" x14ac:dyDescent="0.2">
      <c r="A49" s="103" t="s">
        <v>153</v>
      </c>
      <c r="B49" s="69" t="s">
        <v>124</v>
      </c>
      <c r="C49" s="103" t="s">
        <v>14</v>
      </c>
      <c r="D49" s="71" t="s">
        <v>125</v>
      </c>
      <c r="E49" s="108" t="s">
        <v>34</v>
      </c>
      <c r="F49" s="131">
        <f>M.C.!F48</f>
        <v>150</v>
      </c>
      <c r="G49" s="104">
        <v>6.87</v>
      </c>
      <c r="H49" s="105">
        <f t="shared" si="10"/>
        <v>8.81</v>
      </c>
      <c r="I49" s="105">
        <f t="shared" si="11"/>
        <v>1321.5</v>
      </c>
      <c r="J49" s="106">
        <f t="shared" si="0"/>
        <v>1.5580385634999989E-3</v>
      </c>
      <c r="N49" s="119"/>
      <c r="O49" s="119"/>
      <c r="P49" s="120"/>
      <c r="Q49" s="121"/>
    </row>
    <row r="50" spans="1:17" s="101" customFormat="1" ht="32.25" customHeight="1" x14ac:dyDescent="0.2">
      <c r="A50" s="103" t="s">
        <v>154</v>
      </c>
      <c r="B50" s="69">
        <v>98511</v>
      </c>
      <c r="C50" s="103" t="s">
        <v>14</v>
      </c>
      <c r="D50" s="71" t="s">
        <v>152</v>
      </c>
      <c r="E50" s="108" t="s">
        <v>122</v>
      </c>
      <c r="F50" s="131">
        <f>M.C.!F49</f>
        <v>40</v>
      </c>
      <c r="G50" s="104">
        <v>135.06</v>
      </c>
      <c r="H50" s="105">
        <f t="shared" si="10"/>
        <v>173.34</v>
      </c>
      <c r="I50" s="105">
        <f t="shared" si="11"/>
        <v>6933.6</v>
      </c>
      <c r="J50" s="106">
        <f t="shared" si="0"/>
        <v>8.174662265519177E-3</v>
      </c>
      <c r="M50" s="121"/>
      <c r="N50" s="119"/>
      <c r="O50" s="119"/>
      <c r="P50" s="120"/>
      <c r="Q50" s="121"/>
    </row>
    <row r="51" spans="1:17" s="101" customFormat="1" ht="24" customHeight="1" x14ac:dyDescent="0.2">
      <c r="A51" s="103" t="s">
        <v>155</v>
      </c>
      <c r="B51" s="69">
        <v>98516</v>
      </c>
      <c r="C51" s="103" t="s">
        <v>14</v>
      </c>
      <c r="D51" s="71" t="s">
        <v>126</v>
      </c>
      <c r="E51" s="108" t="s">
        <v>122</v>
      </c>
      <c r="F51" s="131">
        <f>M.C.!F50</f>
        <v>20</v>
      </c>
      <c r="G51" s="104">
        <v>326.49</v>
      </c>
      <c r="H51" s="105">
        <f t="shared" si="10"/>
        <v>419.04</v>
      </c>
      <c r="I51" s="105">
        <f t="shared" si="11"/>
        <v>8380.7999999999993</v>
      </c>
      <c r="J51" s="106">
        <f t="shared" si="0"/>
        <v>9.8809001838674158E-3</v>
      </c>
      <c r="N51" s="119"/>
      <c r="O51" s="119"/>
      <c r="P51" s="120"/>
      <c r="Q51" s="121"/>
    </row>
    <row r="52" spans="1:17" s="101" customFormat="1" ht="22.5" customHeight="1" x14ac:dyDescent="0.2">
      <c r="A52" s="103" t="s">
        <v>159</v>
      </c>
      <c r="B52" s="103">
        <v>103946</v>
      </c>
      <c r="C52" s="103" t="s">
        <v>14</v>
      </c>
      <c r="D52" s="102" t="s">
        <v>158</v>
      </c>
      <c r="E52" s="108" t="s">
        <v>34</v>
      </c>
      <c r="F52" s="131">
        <f>M.C.!F51</f>
        <v>724</v>
      </c>
      <c r="G52" s="104">
        <v>11.72</v>
      </c>
      <c r="H52" s="104">
        <f t="shared" si="10"/>
        <v>15.04</v>
      </c>
      <c r="I52" s="105">
        <f t="shared" ref="I52" si="12">TRUNC((F52*H52),2)</f>
        <v>10888.96</v>
      </c>
      <c r="J52" s="106">
        <f t="shared" si="0"/>
        <v>1.2838001964743811E-2</v>
      </c>
      <c r="N52" s="119"/>
      <c r="O52" s="119"/>
      <c r="P52" s="120"/>
      <c r="Q52" s="121"/>
    </row>
    <row r="53" spans="1:17" ht="24" customHeight="1" x14ac:dyDescent="0.2">
      <c r="A53" s="109" t="s">
        <v>72</v>
      </c>
      <c r="B53" s="110"/>
      <c r="C53" s="109"/>
      <c r="D53" s="110" t="s">
        <v>206</v>
      </c>
      <c r="E53" s="117"/>
      <c r="F53" s="132"/>
      <c r="G53" s="111"/>
      <c r="H53" s="111"/>
      <c r="I53" s="87">
        <f>TRUNC(SUMPRODUCT(F54:F55,H54:H55),2)</f>
        <v>156550.98000000001</v>
      </c>
      <c r="J53" s="112">
        <v>0</v>
      </c>
      <c r="K53" s="135">
        <f>SUM(I54:I55)</f>
        <v>156550.97</v>
      </c>
      <c r="N53" s="1">
        <f>221.58*2.2</f>
        <v>487.47600000000006</v>
      </c>
      <c r="P53" s="100"/>
      <c r="Q53" s="99"/>
    </row>
    <row r="54" spans="1:17" ht="32.25" customHeight="1" x14ac:dyDescent="0.2">
      <c r="A54" s="103" t="s">
        <v>160</v>
      </c>
      <c r="B54" s="69">
        <v>102494</v>
      </c>
      <c r="C54" s="103" t="s">
        <v>14</v>
      </c>
      <c r="D54" s="71" t="s">
        <v>162</v>
      </c>
      <c r="E54" s="108" t="s">
        <v>34</v>
      </c>
      <c r="F54" s="131">
        <f>M.C.!F53</f>
        <v>2002.2980000000002</v>
      </c>
      <c r="G54" s="104">
        <v>53.04</v>
      </c>
      <c r="H54" s="105">
        <f t="shared" ref="H54:H55" si="13">TRUNC(G54+($G$3*G54),2)</f>
        <v>68.069999999999993</v>
      </c>
      <c r="I54" s="105">
        <f t="shared" ref="I54:I55" si="14">TRUNC((F54*H54),2)</f>
        <v>136296.42000000001</v>
      </c>
      <c r="J54" s="106">
        <f>I54/$H$63</f>
        <v>0.16069245435262394</v>
      </c>
      <c r="N54" s="1">
        <f>2*(F23/2.4)</f>
        <v>1459.3816666666667</v>
      </c>
      <c r="P54" s="100"/>
      <c r="Q54" s="99"/>
    </row>
    <row r="55" spans="1:17" ht="49.5" customHeight="1" x14ac:dyDescent="0.2">
      <c r="A55" s="103" t="s">
        <v>161</v>
      </c>
      <c r="B55" s="69">
        <v>102512</v>
      </c>
      <c r="C55" s="103" t="s">
        <v>14</v>
      </c>
      <c r="D55" s="71" t="s">
        <v>246</v>
      </c>
      <c r="E55" s="108" t="s">
        <v>67</v>
      </c>
      <c r="F55" s="131">
        <f>M.C.!F54</f>
        <v>3256.3599999999997</v>
      </c>
      <c r="G55" s="104">
        <v>4.8499999999999996</v>
      </c>
      <c r="H55" s="105">
        <f t="shared" si="13"/>
        <v>6.22</v>
      </c>
      <c r="I55" s="105">
        <f t="shared" si="14"/>
        <v>20254.55</v>
      </c>
      <c r="J55" s="106">
        <f>I55/$H$63</f>
        <v>2.3879962153869769E-2</v>
      </c>
      <c r="N55" s="1">
        <f>F22/2.4</f>
        <v>729.69083333333333</v>
      </c>
      <c r="O55" s="1">
        <f>N55*4</f>
        <v>2918.7633333333333</v>
      </c>
      <c r="P55" s="100"/>
      <c r="Q55" s="99"/>
    </row>
    <row r="56" spans="1:17" ht="24" customHeight="1" x14ac:dyDescent="0.2">
      <c r="A56" s="109">
        <v>9</v>
      </c>
      <c r="B56" s="110"/>
      <c r="C56" s="109"/>
      <c r="D56" s="110" t="s">
        <v>198</v>
      </c>
      <c r="E56" s="117"/>
      <c r="F56" s="132"/>
      <c r="G56" s="111"/>
      <c r="H56" s="111"/>
      <c r="I56" s="87">
        <f>TRUNC(SUMPRODUCT(F57:F62,H57:H62),2)</f>
        <v>14801.45</v>
      </c>
      <c r="J56" s="112">
        <v>0</v>
      </c>
      <c r="K56" s="135">
        <f>SUM(I57:I62)</f>
        <v>14801.429999999998</v>
      </c>
      <c r="N56" s="1">
        <f>221.58*2.2</f>
        <v>487.47600000000006</v>
      </c>
      <c r="P56" s="100"/>
      <c r="Q56" s="99"/>
    </row>
    <row r="57" spans="1:17" s="137" customFormat="1" ht="23.25" customHeight="1" x14ac:dyDescent="0.2">
      <c r="A57" s="103" t="s">
        <v>199</v>
      </c>
      <c r="B57" s="140" t="s">
        <v>169</v>
      </c>
      <c r="C57" s="140" t="s">
        <v>14</v>
      </c>
      <c r="D57" s="141" t="s">
        <v>170</v>
      </c>
      <c r="E57" s="108" t="s">
        <v>34</v>
      </c>
      <c r="F57" s="131">
        <f>M.C.!F56</f>
        <v>2591.0140000000001</v>
      </c>
      <c r="G57" s="104">
        <v>1.51</v>
      </c>
      <c r="H57" s="105">
        <f t="shared" ref="H57:H62" si="15">TRUNC(G57+($G$3*G57),2)</f>
        <v>1.93</v>
      </c>
      <c r="I57" s="105">
        <f t="shared" ref="I57:I62" si="16">TRUNC((F57*H57),2)</f>
        <v>5000.6499999999996</v>
      </c>
      <c r="J57" s="106">
        <f t="shared" ref="J57:J62" si="17">I57/$H$63</f>
        <v>5.8957287495771992E-3</v>
      </c>
      <c r="N57" s="137">
        <f>2*(F26/2.4)</f>
        <v>293.56666666666666</v>
      </c>
      <c r="P57" s="120"/>
      <c r="Q57" s="121"/>
    </row>
    <row r="58" spans="1:17" s="137" customFormat="1" ht="35.25" customHeight="1" x14ac:dyDescent="0.2">
      <c r="A58" s="103" t="s">
        <v>200</v>
      </c>
      <c r="B58" s="103">
        <v>100947</v>
      </c>
      <c r="C58" s="103" t="s">
        <v>14</v>
      </c>
      <c r="D58" s="102" t="s">
        <v>195</v>
      </c>
      <c r="E58" s="108" t="s">
        <v>197</v>
      </c>
      <c r="F58" s="131">
        <f>M.C.!F57</f>
        <v>510.76</v>
      </c>
      <c r="G58" s="104">
        <v>2.09</v>
      </c>
      <c r="H58" s="105">
        <f t="shared" si="15"/>
        <v>2.68</v>
      </c>
      <c r="I58" s="105">
        <f t="shared" si="16"/>
        <v>1368.83</v>
      </c>
      <c r="J58" s="106">
        <f t="shared" si="17"/>
        <v>1.6138402776206609E-3</v>
      </c>
      <c r="P58" s="120"/>
      <c r="Q58" s="121"/>
    </row>
    <row r="59" spans="1:17" s="137" customFormat="1" ht="35.25" customHeight="1" x14ac:dyDescent="0.2">
      <c r="A59" s="103" t="s">
        <v>201</v>
      </c>
      <c r="B59" s="103">
        <v>100948</v>
      </c>
      <c r="C59" s="103" t="s">
        <v>14</v>
      </c>
      <c r="D59" s="102" t="s">
        <v>196</v>
      </c>
      <c r="E59" s="108" t="s">
        <v>197</v>
      </c>
      <c r="F59" s="131">
        <f>M.C.!F58</f>
        <v>647.67999999999995</v>
      </c>
      <c r="G59" s="104">
        <v>0.83</v>
      </c>
      <c r="H59" s="105">
        <f t="shared" si="15"/>
        <v>1.06</v>
      </c>
      <c r="I59" s="105">
        <f t="shared" si="16"/>
        <v>686.54</v>
      </c>
      <c r="J59" s="106">
        <f t="shared" si="17"/>
        <v>8.0942549783222793E-4</v>
      </c>
      <c r="P59" s="120"/>
      <c r="Q59" s="121"/>
    </row>
    <row r="60" spans="1:17" s="137" customFormat="1" ht="46.5" customHeight="1" x14ac:dyDescent="0.2">
      <c r="A60" s="103" t="s">
        <v>202</v>
      </c>
      <c r="B60" s="70" t="s">
        <v>46</v>
      </c>
      <c r="C60" s="69" t="s">
        <v>14</v>
      </c>
      <c r="D60" s="71" t="s">
        <v>47</v>
      </c>
      <c r="E60" s="72" t="s">
        <v>48</v>
      </c>
      <c r="F60" s="131">
        <f>M.C.!F59</f>
        <v>236.42600800000005</v>
      </c>
      <c r="G60" s="73">
        <v>8.4</v>
      </c>
      <c r="H60" s="73">
        <f>TRUNC(G60+($G$3*G60),2)</f>
        <v>10.78</v>
      </c>
      <c r="I60" s="73">
        <f t="shared" si="16"/>
        <v>2548.67</v>
      </c>
      <c r="J60" s="74">
        <f t="shared" si="17"/>
        <v>3.0048627662773685E-3</v>
      </c>
      <c r="P60" s="120"/>
      <c r="Q60" s="121"/>
    </row>
    <row r="61" spans="1:17" s="137" customFormat="1" ht="35.25" customHeight="1" x14ac:dyDescent="0.2">
      <c r="A61" s="103" t="s">
        <v>204</v>
      </c>
      <c r="B61" s="70" t="s">
        <v>49</v>
      </c>
      <c r="C61" s="69" t="s">
        <v>14</v>
      </c>
      <c r="D61" s="71" t="s">
        <v>50</v>
      </c>
      <c r="E61" s="90" t="s">
        <v>123</v>
      </c>
      <c r="F61" s="131">
        <f>M.C.!F60</f>
        <v>1654.9820560000003</v>
      </c>
      <c r="G61" s="73">
        <v>2.02</v>
      </c>
      <c r="H61" s="73">
        <f>TRUNC(G61+($G$3*G61),2)</f>
        <v>2.59</v>
      </c>
      <c r="I61" s="73">
        <f t="shared" si="16"/>
        <v>4286.3999999999996</v>
      </c>
      <c r="J61" s="74">
        <f t="shared" si="17"/>
        <v>5.0536333700994286E-3</v>
      </c>
      <c r="P61" s="120"/>
      <c r="Q61" s="121"/>
    </row>
    <row r="62" spans="1:17" s="137" customFormat="1" ht="26.25" customHeight="1" x14ac:dyDescent="0.2">
      <c r="A62" s="103" t="s">
        <v>202</v>
      </c>
      <c r="B62" s="140" t="s">
        <v>171</v>
      </c>
      <c r="C62" s="140" t="s">
        <v>127</v>
      </c>
      <c r="D62" s="141" t="s">
        <v>172</v>
      </c>
      <c r="E62" s="108" t="s">
        <v>173</v>
      </c>
      <c r="F62" s="131">
        <f>M.C.!F61</f>
        <v>1</v>
      </c>
      <c r="G62" s="104">
        <v>709.28</v>
      </c>
      <c r="H62" s="105">
        <f t="shared" si="15"/>
        <v>910.34</v>
      </c>
      <c r="I62" s="105">
        <f t="shared" si="16"/>
        <v>910.34</v>
      </c>
      <c r="J62" s="106">
        <f t="shared" si="17"/>
        <v>1.0732840150560643E-3</v>
      </c>
      <c r="N62" s="137">
        <f>F25/2.4</f>
        <v>0</v>
      </c>
      <c r="O62" s="137">
        <f>N62*4</f>
        <v>0</v>
      </c>
      <c r="P62" s="120"/>
      <c r="Q62" s="121"/>
    </row>
    <row r="63" spans="1:17" ht="27.75" customHeight="1" x14ac:dyDescent="0.2">
      <c r="A63" s="256" t="s">
        <v>156</v>
      </c>
      <c r="B63" s="257"/>
      <c r="C63" s="257"/>
      <c r="D63" s="257"/>
      <c r="E63" s="257"/>
      <c r="F63" s="257"/>
      <c r="G63" s="258"/>
      <c r="H63" s="253">
        <f>I8+I14+I17+I21+I25+I34+I47+I53+I56</f>
        <v>848181.82999999984</v>
      </c>
      <c r="I63" s="254"/>
      <c r="J63" s="255"/>
      <c r="K63" s="135">
        <f>K53+K47+K34+K25+K21+K17+K14+K8+K56</f>
        <v>848181.79</v>
      </c>
      <c r="O63" s="1">
        <f>221.58*2</f>
        <v>443.16</v>
      </c>
      <c r="P63" s="100"/>
      <c r="Q63" s="99"/>
    </row>
    <row r="64" spans="1:17" ht="45.75" customHeight="1" x14ac:dyDescent="0.2">
      <c r="A64" s="67"/>
      <c r="B64" s="2"/>
      <c r="C64" s="67"/>
      <c r="D64" s="2"/>
      <c r="E64" s="2"/>
      <c r="F64" s="133"/>
      <c r="G64" s="4"/>
      <c r="H64" s="4"/>
      <c r="I64" s="4"/>
      <c r="J64" s="2"/>
    </row>
    <row r="65" spans="1:10" ht="47.25" customHeight="1" x14ac:dyDescent="0.2">
      <c r="A65" s="229" t="s">
        <v>261</v>
      </c>
      <c r="B65" s="230"/>
      <c r="C65" s="230"/>
      <c r="D65" s="230"/>
      <c r="E65" s="230"/>
      <c r="F65" s="230"/>
      <c r="G65" s="230"/>
      <c r="H65" s="230"/>
      <c r="I65" s="230"/>
      <c r="J65" s="230"/>
    </row>
  </sheetData>
  <mergeCells count="11">
    <mergeCell ref="A65:J65"/>
    <mergeCell ref="A1:J1"/>
    <mergeCell ref="I3:J4"/>
    <mergeCell ref="A5:J5"/>
    <mergeCell ref="I2:J2"/>
    <mergeCell ref="G2:H2"/>
    <mergeCell ref="G3:H4"/>
    <mergeCell ref="H63:J63"/>
    <mergeCell ref="A63:G63"/>
    <mergeCell ref="I7:J7"/>
    <mergeCell ref="A7:H7"/>
  </mergeCells>
  <pageMargins left="0.51181102362204722" right="0.51181102362204722" top="0.78740157480314965" bottom="0.78740157480314965" header="0.31496062992125984" footer="0.31496062992125984"/>
  <pageSetup paperSize="9" scale="4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30"/>
  <sheetViews>
    <sheetView topLeftCell="A7" workbookViewId="0">
      <selection activeCell="O10" sqref="O10:P10"/>
    </sheetView>
  </sheetViews>
  <sheetFormatPr defaultColWidth="8.125" defaultRowHeight="14.25" x14ac:dyDescent="0.2"/>
  <cols>
    <col min="1" max="1" width="8" style="6" customWidth="1"/>
    <col min="2" max="2" width="29.875" style="6" customWidth="1"/>
    <col min="3" max="3" width="17.125" style="6" customWidth="1"/>
    <col min="4" max="4" width="8.125" style="6" customWidth="1"/>
    <col min="5" max="5" width="13.75" style="48" customWidth="1"/>
    <col min="6" max="6" width="7.5" style="49" customWidth="1"/>
    <col min="7" max="7" width="15.25" style="49" customWidth="1"/>
    <col min="8" max="8" width="8.5" style="49" customWidth="1"/>
    <col min="9" max="9" width="15.375" style="49" customWidth="1"/>
    <col min="10" max="10" width="9.25" style="49" customWidth="1"/>
    <col min="11" max="11" width="13.75" style="49" customWidth="1"/>
    <col min="12" max="12" width="9.5" style="49" customWidth="1"/>
    <col min="13" max="13" width="14" style="49" customWidth="1"/>
    <col min="14" max="14" width="10" style="49" customWidth="1"/>
    <col min="15" max="15" width="17.25" style="48" customWidth="1"/>
    <col min="16" max="16" width="8.875" style="50" customWidth="1"/>
    <col min="17" max="17" width="18.625" style="48" customWidth="1"/>
    <col min="18" max="18" width="8" style="6" customWidth="1"/>
    <col min="19" max="19" width="20.25" style="6" customWidth="1"/>
    <col min="20" max="261" width="8" style="6" customWidth="1"/>
    <col min="262" max="262" width="61.875" style="6" bestFit="1" customWidth="1"/>
    <col min="263" max="263" width="17.75" style="6" customWidth="1"/>
    <col min="264" max="264" width="8.125" style="6"/>
    <col min="265" max="265" width="8" style="6" customWidth="1"/>
    <col min="266" max="266" width="49.625" style="6" customWidth="1"/>
    <col min="267" max="267" width="17.75" style="6" customWidth="1"/>
    <col min="268" max="268" width="8.125" style="6" customWidth="1"/>
    <col min="269" max="269" width="15.75" style="6" customWidth="1"/>
    <col min="270" max="270" width="7.5" style="6" customWidth="1"/>
    <col min="271" max="271" width="17.625" style="6" customWidth="1"/>
    <col min="272" max="272" width="8.875" style="6" customWidth="1"/>
    <col min="273" max="273" width="15.625" style="6" customWidth="1"/>
    <col min="274" max="274" width="8" style="6" customWidth="1"/>
    <col min="275" max="275" width="20.25" style="6" customWidth="1"/>
    <col min="276" max="517" width="8" style="6" customWidth="1"/>
    <col min="518" max="518" width="61.875" style="6" bestFit="1" customWidth="1"/>
    <col min="519" max="519" width="17.75" style="6" customWidth="1"/>
    <col min="520" max="520" width="8.125" style="6"/>
    <col min="521" max="521" width="8" style="6" customWidth="1"/>
    <col min="522" max="522" width="49.625" style="6" customWidth="1"/>
    <col min="523" max="523" width="17.75" style="6" customWidth="1"/>
    <col min="524" max="524" width="8.125" style="6" customWidth="1"/>
    <col min="525" max="525" width="15.75" style="6" customWidth="1"/>
    <col min="526" max="526" width="7.5" style="6" customWidth="1"/>
    <col min="527" max="527" width="17.625" style="6" customWidth="1"/>
    <col min="528" max="528" width="8.875" style="6" customWidth="1"/>
    <col min="529" max="529" width="15.625" style="6" customWidth="1"/>
    <col min="530" max="530" width="8" style="6" customWidth="1"/>
    <col min="531" max="531" width="20.25" style="6" customWidth="1"/>
    <col min="532" max="773" width="8" style="6" customWidth="1"/>
    <col min="774" max="774" width="61.875" style="6" bestFit="1" customWidth="1"/>
    <col min="775" max="775" width="17.75" style="6" customWidth="1"/>
    <col min="776" max="776" width="8.125" style="6"/>
    <col min="777" max="777" width="8" style="6" customWidth="1"/>
    <col min="778" max="778" width="49.625" style="6" customWidth="1"/>
    <col min="779" max="779" width="17.75" style="6" customWidth="1"/>
    <col min="780" max="780" width="8.125" style="6" customWidth="1"/>
    <col min="781" max="781" width="15.75" style="6" customWidth="1"/>
    <col min="782" max="782" width="7.5" style="6" customWidth="1"/>
    <col min="783" max="783" width="17.625" style="6" customWidth="1"/>
    <col min="784" max="784" width="8.875" style="6" customWidth="1"/>
    <col min="785" max="785" width="15.625" style="6" customWidth="1"/>
    <col min="786" max="786" width="8" style="6" customWidth="1"/>
    <col min="787" max="787" width="20.25" style="6" customWidth="1"/>
    <col min="788" max="1029" width="8" style="6" customWidth="1"/>
    <col min="1030" max="1030" width="61.875" style="6" bestFit="1" customWidth="1"/>
    <col min="1031" max="1031" width="17.75" style="6" customWidth="1"/>
    <col min="1032" max="1032" width="8.125" style="6"/>
    <col min="1033" max="1033" width="8" style="6" customWidth="1"/>
    <col min="1034" max="1034" width="49.625" style="6" customWidth="1"/>
    <col min="1035" max="1035" width="17.75" style="6" customWidth="1"/>
    <col min="1036" max="1036" width="8.125" style="6" customWidth="1"/>
    <col min="1037" max="1037" width="15.75" style="6" customWidth="1"/>
    <col min="1038" max="1038" width="7.5" style="6" customWidth="1"/>
    <col min="1039" max="1039" width="17.625" style="6" customWidth="1"/>
    <col min="1040" max="1040" width="8.875" style="6" customWidth="1"/>
    <col min="1041" max="1041" width="15.625" style="6" customWidth="1"/>
    <col min="1042" max="1042" width="8" style="6" customWidth="1"/>
    <col min="1043" max="1043" width="20.25" style="6" customWidth="1"/>
    <col min="1044" max="1285" width="8" style="6" customWidth="1"/>
    <col min="1286" max="1286" width="61.875" style="6" bestFit="1" customWidth="1"/>
    <col min="1287" max="1287" width="17.75" style="6" customWidth="1"/>
    <col min="1288" max="1288" width="8.125" style="6"/>
    <col min="1289" max="1289" width="8" style="6" customWidth="1"/>
    <col min="1290" max="1290" width="49.625" style="6" customWidth="1"/>
    <col min="1291" max="1291" width="17.75" style="6" customWidth="1"/>
    <col min="1292" max="1292" width="8.125" style="6" customWidth="1"/>
    <col min="1293" max="1293" width="15.75" style="6" customWidth="1"/>
    <col min="1294" max="1294" width="7.5" style="6" customWidth="1"/>
    <col min="1295" max="1295" width="17.625" style="6" customWidth="1"/>
    <col min="1296" max="1296" width="8.875" style="6" customWidth="1"/>
    <col min="1297" max="1297" width="15.625" style="6" customWidth="1"/>
    <col min="1298" max="1298" width="8" style="6" customWidth="1"/>
    <col min="1299" max="1299" width="20.25" style="6" customWidth="1"/>
    <col min="1300" max="1541" width="8" style="6" customWidth="1"/>
    <col min="1542" max="1542" width="61.875" style="6" bestFit="1" customWidth="1"/>
    <col min="1543" max="1543" width="17.75" style="6" customWidth="1"/>
    <col min="1544" max="1544" width="8.125" style="6"/>
    <col min="1545" max="1545" width="8" style="6" customWidth="1"/>
    <col min="1546" max="1546" width="49.625" style="6" customWidth="1"/>
    <col min="1547" max="1547" width="17.75" style="6" customWidth="1"/>
    <col min="1548" max="1548" width="8.125" style="6" customWidth="1"/>
    <col min="1549" max="1549" width="15.75" style="6" customWidth="1"/>
    <col min="1550" max="1550" width="7.5" style="6" customWidth="1"/>
    <col min="1551" max="1551" width="17.625" style="6" customWidth="1"/>
    <col min="1552" max="1552" width="8.875" style="6" customWidth="1"/>
    <col min="1553" max="1553" width="15.625" style="6" customWidth="1"/>
    <col min="1554" max="1554" width="8" style="6" customWidth="1"/>
    <col min="1555" max="1555" width="20.25" style="6" customWidth="1"/>
    <col min="1556" max="1797" width="8" style="6" customWidth="1"/>
    <col min="1798" max="1798" width="61.875" style="6" bestFit="1" customWidth="1"/>
    <col min="1799" max="1799" width="17.75" style="6" customWidth="1"/>
    <col min="1800" max="1800" width="8.125" style="6"/>
    <col min="1801" max="1801" width="8" style="6" customWidth="1"/>
    <col min="1802" max="1802" width="49.625" style="6" customWidth="1"/>
    <col min="1803" max="1803" width="17.75" style="6" customWidth="1"/>
    <col min="1804" max="1804" width="8.125" style="6" customWidth="1"/>
    <col min="1805" max="1805" width="15.75" style="6" customWidth="1"/>
    <col min="1806" max="1806" width="7.5" style="6" customWidth="1"/>
    <col min="1807" max="1807" width="17.625" style="6" customWidth="1"/>
    <col min="1808" max="1808" width="8.875" style="6" customWidth="1"/>
    <col min="1809" max="1809" width="15.625" style="6" customWidth="1"/>
    <col min="1810" max="1810" width="8" style="6" customWidth="1"/>
    <col min="1811" max="1811" width="20.25" style="6" customWidth="1"/>
    <col min="1812" max="2053" width="8" style="6" customWidth="1"/>
    <col min="2054" max="2054" width="61.875" style="6" bestFit="1" customWidth="1"/>
    <col min="2055" max="2055" width="17.75" style="6" customWidth="1"/>
    <col min="2056" max="2056" width="8.125" style="6"/>
    <col min="2057" max="2057" width="8" style="6" customWidth="1"/>
    <col min="2058" max="2058" width="49.625" style="6" customWidth="1"/>
    <col min="2059" max="2059" width="17.75" style="6" customWidth="1"/>
    <col min="2060" max="2060" width="8.125" style="6" customWidth="1"/>
    <col min="2061" max="2061" width="15.75" style="6" customWidth="1"/>
    <col min="2062" max="2062" width="7.5" style="6" customWidth="1"/>
    <col min="2063" max="2063" width="17.625" style="6" customWidth="1"/>
    <col min="2064" max="2064" width="8.875" style="6" customWidth="1"/>
    <col min="2065" max="2065" width="15.625" style="6" customWidth="1"/>
    <col min="2066" max="2066" width="8" style="6" customWidth="1"/>
    <col min="2067" max="2067" width="20.25" style="6" customWidth="1"/>
    <col min="2068" max="2309" width="8" style="6" customWidth="1"/>
    <col min="2310" max="2310" width="61.875" style="6" bestFit="1" customWidth="1"/>
    <col min="2311" max="2311" width="17.75" style="6" customWidth="1"/>
    <col min="2312" max="2312" width="8.125" style="6"/>
    <col min="2313" max="2313" width="8" style="6" customWidth="1"/>
    <col min="2314" max="2314" width="49.625" style="6" customWidth="1"/>
    <col min="2315" max="2315" width="17.75" style="6" customWidth="1"/>
    <col min="2316" max="2316" width="8.125" style="6" customWidth="1"/>
    <col min="2317" max="2317" width="15.75" style="6" customWidth="1"/>
    <col min="2318" max="2318" width="7.5" style="6" customWidth="1"/>
    <col min="2319" max="2319" width="17.625" style="6" customWidth="1"/>
    <col min="2320" max="2320" width="8.875" style="6" customWidth="1"/>
    <col min="2321" max="2321" width="15.625" style="6" customWidth="1"/>
    <col min="2322" max="2322" width="8" style="6" customWidth="1"/>
    <col min="2323" max="2323" width="20.25" style="6" customWidth="1"/>
    <col min="2324" max="2565" width="8" style="6" customWidth="1"/>
    <col min="2566" max="2566" width="61.875" style="6" bestFit="1" customWidth="1"/>
    <col min="2567" max="2567" width="17.75" style="6" customWidth="1"/>
    <col min="2568" max="2568" width="8.125" style="6"/>
    <col min="2569" max="2569" width="8" style="6" customWidth="1"/>
    <col min="2570" max="2570" width="49.625" style="6" customWidth="1"/>
    <col min="2571" max="2571" width="17.75" style="6" customWidth="1"/>
    <col min="2572" max="2572" width="8.125" style="6" customWidth="1"/>
    <col min="2573" max="2573" width="15.75" style="6" customWidth="1"/>
    <col min="2574" max="2574" width="7.5" style="6" customWidth="1"/>
    <col min="2575" max="2575" width="17.625" style="6" customWidth="1"/>
    <col min="2576" max="2576" width="8.875" style="6" customWidth="1"/>
    <col min="2577" max="2577" width="15.625" style="6" customWidth="1"/>
    <col min="2578" max="2578" width="8" style="6" customWidth="1"/>
    <col min="2579" max="2579" width="20.25" style="6" customWidth="1"/>
    <col min="2580" max="2821" width="8" style="6" customWidth="1"/>
    <col min="2822" max="2822" width="61.875" style="6" bestFit="1" customWidth="1"/>
    <col min="2823" max="2823" width="17.75" style="6" customWidth="1"/>
    <col min="2824" max="2824" width="8.125" style="6"/>
    <col min="2825" max="2825" width="8" style="6" customWidth="1"/>
    <col min="2826" max="2826" width="49.625" style="6" customWidth="1"/>
    <col min="2827" max="2827" width="17.75" style="6" customWidth="1"/>
    <col min="2828" max="2828" width="8.125" style="6" customWidth="1"/>
    <col min="2829" max="2829" width="15.75" style="6" customWidth="1"/>
    <col min="2830" max="2830" width="7.5" style="6" customWidth="1"/>
    <col min="2831" max="2831" width="17.625" style="6" customWidth="1"/>
    <col min="2832" max="2832" width="8.875" style="6" customWidth="1"/>
    <col min="2833" max="2833" width="15.625" style="6" customWidth="1"/>
    <col min="2834" max="2834" width="8" style="6" customWidth="1"/>
    <col min="2835" max="2835" width="20.25" style="6" customWidth="1"/>
    <col min="2836" max="3077" width="8" style="6" customWidth="1"/>
    <col min="3078" max="3078" width="61.875" style="6" bestFit="1" customWidth="1"/>
    <col min="3079" max="3079" width="17.75" style="6" customWidth="1"/>
    <col min="3080" max="3080" width="8.125" style="6"/>
    <col min="3081" max="3081" width="8" style="6" customWidth="1"/>
    <col min="3082" max="3082" width="49.625" style="6" customWidth="1"/>
    <col min="3083" max="3083" width="17.75" style="6" customWidth="1"/>
    <col min="3084" max="3084" width="8.125" style="6" customWidth="1"/>
    <col min="3085" max="3085" width="15.75" style="6" customWidth="1"/>
    <col min="3086" max="3086" width="7.5" style="6" customWidth="1"/>
    <col min="3087" max="3087" width="17.625" style="6" customWidth="1"/>
    <col min="3088" max="3088" width="8.875" style="6" customWidth="1"/>
    <col min="3089" max="3089" width="15.625" style="6" customWidth="1"/>
    <col min="3090" max="3090" width="8" style="6" customWidth="1"/>
    <col min="3091" max="3091" width="20.25" style="6" customWidth="1"/>
    <col min="3092" max="3333" width="8" style="6" customWidth="1"/>
    <col min="3334" max="3334" width="61.875" style="6" bestFit="1" customWidth="1"/>
    <col min="3335" max="3335" width="17.75" style="6" customWidth="1"/>
    <col min="3336" max="3336" width="8.125" style="6"/>
    <col min="3337" max="3337" width="8" style="6" customWidth="1"/>
    <col min="3338" max="3338" width="49.625" style="6" customWidth="1"/>
    <col min="3339" max="3339" width="17.75" style="6" customWidth="1"/>
    <col min="3340" max="3340" width="8.125" style="6" customWidth="1"/>
    <col min="3341" max="3341" width="15.75" style="6" customWidth="1"/>
    <col min="3342" max="3342" width="7.5" style="6" customWidth="1"/>
    <col min="3343" max="3343" width="17.625" style="6" customWidth="1"/>
    <col min="3344" max="3344" width="8.875" style="6" customWidth="1"/>
    <col min="3345" max="3345" width="15.625" style="6" customWidth="1"/>
    <col min="3346" max="3346" width="8" style="6" customWidth="1"/>
    <col min="3347" max="3347" width="20.25" style="6" customWidth="1"/>
    <col min="3348" max="3589" width="8" style="6" customWidth="1"/>
    <col min="3590" max="3590" width="61.875" style="6" bestFit="1" customWidth="1"/>
    <col min="3591" max="3591" width="17.75" style="6" customWidth="1"/>
    <col min="3592" max="3592" width="8.125" style="6"/>
    <col min="3593" max="3593" width="8" style="6" customWidth="1"/>
    <col min="3594" max="3594" width="49.625" style="6" customWidth="1"/>
    <col min="3595" max="3595" width="17.75" style="6" customWidth="1"/>
    <col min="3596" max="3596" width="8.125" style="6" customWidth="1"/>
    <col min="3597" max="3597" width="15.75" style="6" customWidth="1"/>
    <col min="3598" max="3598" width="7.5" style="6" customWidth="1"/>
    <col min="3599" max="3599" width="17.625" style="6" customWidth="1"/>
    <col min="3600" max="3600" width="8.875" style="6" customWidth="1"/>
    <col min="3601" max="3601" width="15.625" style="6" customWidth="1"/>
    <col min="3602" max="3602" width="8" style="6" customWidth="1"/>
    <col min="3603" max="3603" width="20.25" style="6" customWidth="1"/>
    <col min="3604" max="3845" width="8" style="6" customWidth="1"/>
    <col min="3846" max="3846" width="61.875" style="6" bestFit="1" customWidth="1"/>
    <col min="3847" max="3847" width="17.75" style="6" customWidth="1"/>
    <col min="3848" max="3848" width="8.125" style="6"/>
    <col min="3849" max="3849" width="8" style="6" customWidth="1"/>
    <col min="3850" max="3850" width="49.625" style="6" customWidth="1"/>
    <col min="3851" max="3851" width="17.75" style="6" customWidth="1"/>
    <col min="3852" max="3852" width="8.125" style="6" customWidth="1"/>
    <col min="3853" max="3853" width="15.75" style="6" customWidth="1"/>
    <col min="3854" max="3854" width="7.5" style="6" customWidth="1"/>
    <col min="3855" max="3855" width="17.625" style="6" customWidth="1"/>
    <col min="3856" max="3856" width="8.875" style="6" customWidth="1"/>
    <col min="3857" max="3857" width="15.625" style="6" customWidth="1"/>
    <col min="3858" max="3858" width="8" style="6" customWidth="1"/>
    <col min="3859" max="3859" width="20.25" style="6" customWidth="1"/>
    <col min="3860" max="4101" width="8" style="6" customWidth="1"/>
    <col min="4102" max="4102" width="61.875" style="6" bestFit="1" customWidth="1"/>
    <col min="4103" max="4103" width="17.75" style="6" customWidth="1"/>
    <col min="4104" max="4104" width="8.125" style="6"/>
    <col min="4105" max="4105" width="8" style="6" customWidth="1"/>
    <col min="4106" max="4106" width="49.625" style="6" customWidth="1"/>
    <col min="4107" max="4107" width="17.75" style="6" customWidth="1"/>
    <col min="4108" max="4108" width="8.125" style="6" customWidth="1"/>
    <col min="4109" max="4109" width="15.75" style="6" customWidth="1"/>
    <col min="4110" max="4110" width="7.5" style="6" customWidth="1"/>
    <col min="4111" max="4111" width="17.625" style="6" customWidth="1"/>
    <col min="4112" max="4112" width="8.875" style="6" customWidth="1"/>
    <col min="4113" max="4113" width="15.625" style="6" customWidth="1"/>
    <col min="4114" max="4114" width="8" style="6" customWidth="1"/>
    <col min="4115" max="4115" width="20.25" style="6" customWidth="1"/>
    <col min="4116" max="4357" width="8" style="6" customWidth="1"/>
    <col min="4358" max="4358" width="61.875" style="6" bestFit="1" customWidth="1"/>
    <col min="4359" max="4359" width="17.75" style="6" customWidth="1"/>
    <col min="4360" max="4360" width="8.125" style="6"/>
    <col min="4361" max="4361" width="8" style="6" customWidth="1"/>
    <col min="4362" max="4362" width="49.625" style="6" customWidth="1"/>
    <col min="4363" max="4363" width="17.75" style="6" customWidth="1"/>
    <col min="4364" max="4364" width="8.125" style="6" customWidth="1"/>
    <col min="4365" max="4365" width="15.75" style="6" customWidth="1"/>
    <col min="4366" max="4366" width="7.5" style="6" customWidth="1"/>
    <col min="4367" max="4367" width="17.625" style="6" customWidth="1"/>
    <col min="4368" max="4368" width="8.875" style="6" customWidth="1"/>
    <col min="4369" max="4369" width="15.625" style="6" customWidth="1"/>
    <col min="4370" max="4370" width="8" style="6" customWidth="1"/>
    <col min="4371" max="4371" width="20.25" style="6" customWidth="1"/>
    <col min="4372" max="4613" width="8" style="6" customWidth="1"/>
    <col min="4614" max="4614" width="61.875" style="6" bestFit="1" customWidth="1"/>
    <col min="4615" max="4615" width="17.75" style="6" customWidth="1"/>
    <col min="4616" max="4616" width="8.125" style="6"/>
    <col min="4617" max="4617" width="8" style="6" customWidth="1"/>
    <col min="4618" max="4618" width="49.625" style="6" customWidth="1"/>
    <col min="4619" max="4619" width="17.75" style="6" customWidth="1"/>
    <col min="4620" max="4620" width="8.125" style="6" customWidth="1"/>
    <col min="4621" max="4621" width="15.75" style="6" customWidth="1"/>
    <col min="4622" max="4622" width="7.5" style="6" customWidth="1"/>
    <col min="4623" max="4623" width="17.625" style="6" customWidth="1"/>
    <col min="4624" max="4624" width="8.875" style="6" customWidth="1"/>
    <col min="4625" max="4625" width="15.625" style="6" customWidth="1"/>
    <col min="4626" max="4626" width="8" style="6" customWidth="1"/>
    <col min="4627" max="4627" width="20.25" style="6" customWidth="1"/>
    <col min="4628" max="4869" width="8" style="6" customWidth="1"/>
    <col min="4870" max="4870" width="61.875" style="6" bestFit="1" customWidth="1"/>
    <col min="4871" max="4871" width="17.75" style="6" customWidth="1"/>
    <col min="4872" max="4872" width="8.125" style="6"/>
    <col min="4873" max="4873" width="8" style="6" customWidth="1"/>
    <col min="4874" max="4874" width="49.625" style="6" customWidth="1"/>
    <col min="4875" max="4875" width="17.75" style="6" customWidth="1"/>
    <col min="4876" max="4876" width="8.125" style="6" customWidth="1"/>
    <col min="4877" max="4877" width="15.75" style="6" customWidth="1"/>
    <col min="4878" max="4878" width="7.5" style="6" customWidth="1"/>
    <col min="4879" max="4879" width="17.625" style="6" customWidth="1"/>
    <col min="4880" max="4880" width="8.875" style="6" customWidth="1"/>
    <col min="4881" max="4881" width="15.625" style="6" customWidth="1"/>
    <col min="4882" max="4882" width="8" style="6" customWidth="1"/>
    <col min="4883" max="4883" width="20.25" style="6" customWidth="1"/>
    <col min="4884" max="5125" width="8" style="6" customWidth="1"/>
    <col min="5126" max="5126" width="61.875" style="6" bestFit="1" customWidth="1"/>
    <col min="5127" max="5127" width="17.75" style="6" customWidth="1"/>
    <col min="5128" max="5128" width="8.125" style="6"/>
    <col min="5129" max="5129" width="8" style="6" customWidth="1"/>
    <col min="5130" max="5130" width="49.625" style="6" customWidth="1"/>
    <col min="5131" max="5131" width="17.75" style="6" customWidth="1"/>
    <col min="5132" max="5132" width="8.125" style="6" customWidth="1"/>
    <col min="5133" max="5133" width="15.75" style="6" customWidth="1"/>
    <col min="5134" max="5134" width="7.5" style="6" customWidth="1"/>
    <col min="5135" max="5135" width="17.625" style="6" customWidth="1"/>
    <col min="5136" max="5136" width="8.875" style="6" customWidth="1"/>
    <col min="5137" max="5137" width="15.625" style="6" customWidth="1"/>
    <col min="5138" max="5138" width="8" style="6" customWidth="1"/>
    <col min="5139" max="5139" width="20.25" style="6" customWidth="1"/>
    <col min="5140" max="5381" width="8" style="6" customWidth="1"/>
    <col min="5382" max="5382" width="61.875" style="6" bestFit="1" customWidth="1"/>
    <col min="5383" max="5383" width="17.75" style="6" customWidth="1"/>
    <col min="5384" max="5384" width="8.125" style="6"/>
    <col min="5385" max="5385" width="8" style="6" customWidth="1"/>
    <col min="5386" max="5386" width="49.625" style="6" customWidth="1"/>
    <col min="5387" max="5387" width="17.75" style="6" customWidth="1"/>
    <col min="5388" max="5388" width="8.125" style="6" customWidth="1"/>
    <col min="5389" max="5389" width="15.75" style="6" customWidth="1"/>
    <col min="5390" max="5390" width="7.5" style="6" customWidth="1"/>
    <col min="5391" max="5391" width="17.625" style="6" customWidth="1"/>
    <col min="5392" max="5392" width="8.875" style="6" customWidth="1"/>
    <col min="5393" max="5393" width="15.625" style="6" customWidth="1"/>
    <col min="5394" max="5394" width="8" style="6" customWidth="1"/>
    <col min="5395" max="5395" width="20.25" style="6" customWidth="1"/>
    <col min="5396" max="5637" width="8" style="6" customWidth="1"/>
    <col min="5638" max="5638" width="61.875" style="6" bestFit="1" customWidth="1"/>
    <col min="5639" max="5639" width="17.75" style="6" customWidth="1"/>
    <col min="5640" max="5640" width="8.125" style="6"/>
    <col min="5641" max="5641" width="8" style="6" customWidth="1"/>
    <col min="5642" max="5642" width="49.625" style="6" customWidth="1"/>
    <col min="5643" max="5643" width="17.75" style="6" customWidth="1"/>
    <col min="5644" max="5644" width="8.125" style="6" customWidth="1"/>
    <col min="5645" max="5645" width="15.75" style="6" customWidth="1"/>
    <col min="5646" max="5646" width="7.5" style="6" customWidth="1"/>
    <col min="5647" max="5647" width="17.625" style="6" customWidth="1"/>
    <col min="5648" max="5648" width="8.875" style="6" customWidth="1"/>
    <col min="5649" max="5649" width="15.625" style="6" customWidth="1"/>
    <col min="5650" max="5650" width="8" style="6" customWidth="1"/>
    <col min="5651" max="5651" width="20.25" style="6" customWidth="1"/>
    <col min="5652" max="5893" width="8" style="6" customWidth="1"/>
    <col min="5894" max="5894" width="61.875" style="6" bestFit="1" customWidth="1"/>
    <col min="5895" max="5895" width="17.75" style="6" customWidth="1"/>
    <col min="5896" max="5896" width="8.125" style="6"/>
    <col min="5897" max="5897" width="8" style="6" customWidth="1"/>
    <col min="5898" max="5898" width="49.625" style="6" customWidth="1"/>
    <col min="5899" max="5899" width="17.75" style="6" customWidth="1"/>
    <col min="5900" max="5900" width="8.125" style="6" customWidth="1"/>
    <col min="5901" max="5901" width="15.75" style="6" customWidth="1"/>
    <col min="5902" max="5902" width="7.5" style="6" customWidth="1"/>
    <col min="5903" max="5903" width="17.625" style="6" customWidth="1"/>
    <col min="5904" max="5904" width="8.875" style="6" customWidth="1"/>
    <col min="5905" max="5905" width="15.625" style="6" customWidth="1"/>
    <col min="5906" max="5906" width="8" style="6" customWidth="1"/>
    <col min="5907" max="5907" width="20.25" style="6" customWidth="1"/>
    <col min="5908" max="6149" width="8" style="6" customWidth="1"/>
    <col min="6150" max="6150" width="61.875" style="6" bestFit="1" customWidth="1"/>
    <col min="6151" max="6151" width="17.75" style="6" customWidth="1"/>
    <col min="6152" max="6152" width="8.125" style="6"/>
    <col min="6153" max="6153" width="8" style="6" customWidth="1"/>
    <col min="6154" max="6154" width="49.625" style="6" customWidth="1"/>
    <col min="6155" max="6155" width="17.75" style="6" customWidth="1"/>
    <col min="6156" max="6156" width="8.125" style="6" customWidth="1"/>
    <col min="6157" max="6157" width="15.75" style="6" customWidth="1"/>
    <col min="6158" max="6158" width="7.5" style="6" customWidth="1"/>
    <col min="6159" max="6159" width="17.625" style="6" customWidth="1"/>
    <col min="6160" max="6160" width="8.875" style="6" customWidth="1"/>
    <col min="6161" max="6161" width="15.625" style="6" customWidth="1"/>
    <col min="6162" max="6162" width="8" style="6" customWidth="1"/>
    <col min="6163" max="6163" width="20.25" style="6" customWidth="1"/>
    <col min="6164" max="6405" width="8" style="6" customWidth="1"/>
    <col min="6406" max="6406" width="61.875" style="6" bestFit="1" customWidth="1"/>
    <col min="6407" max="6407" width="17.75" style="6" customWidth="1"/>
    <col min="6408" max="6408" width="8.125" style="6"/>
    <col min="6409" max="6409" width="8" style="6" customWidth="1"/>
    <col min="6410" max="6410" width="49.625" style="6" customWidth="1"/>
    <col min="6411" max="6411" width="17.75" style="6" customWidth="1"/>
    <col min="6412" max="6412" width="8.125" style="6" customWidth="1"/>
    <col min="6413" max="6413" width="15.75" style="6" customWidth="1"/>
    <col min="6414" max="6414" width="7.5" style="6" customWidth="1"/>
    <col min="6415" max="6415" width="17.625" style="6" customWidth="1"/>
    <col min="6416" max="6416" width="8.875" style="6" customWidth="1"/>
    <col min="6417" max="6417" width="15.625" style="6" customWidth="1"/>
    <col min="6418" max="6418" width="8" style="6" customWidth="1"/>
    <col min="6419" max="6419" width="20.25" style="6" customWidth="1"/>
    <col min="6420" max="6661" width="8" style="6" customWidth="1"/>
    <col min="6662" max="6662" width="61.875" style="6" bestFit="1" customWidth="1"/>
    <col min="6663" max="6663" width="17.75" style="6" customWidth="1"/>
    <col min="6664" max="6664" width="8.125" style="6"/>
    <col min="6665" max="6665" width="8" style="6" customWidth="1"/>
    <col min="6666" max="6666" width="49.625" style="6" customWidth="1"/>
    <col min="6667" max="6667" width="17.75" style="6" customWidth="1"/>
    <col min="6668" max="6668" width="8.125" style="6" customWidth="1"/>
    <col min="6669" max="6669" width="15.75" style="6" customWidth="1"/>
    <col min="6670" max="6670" width="7.5" style="6" customWidth="1"/>
    <col min="6671" max="6671" width="17.625" style="6" customWidth="1"/>
    <col min="6672" max="6672" width="8.875" style="6" customWidth="1"/>
    <col min="6673" max="6673" width="15.625" style="6" customWidth="1"/>
    <col min="6674" max="6674" width="8" style="6" customWidth="1"/>
    <col min="6675" max="6675" width="20.25" style="6" customWidth="1"/>
    <col min="6676" max="6917" width="8" style="6" customWidth="1"/>
    <col min="6918" max="6918" width="61.875" style="6" bestFit="1" customWidth="1"/>
    <col min="6919" max="6919" width="17.75" style="6" customWidth="1"/>
    <col min="6920" max="6920" width="8.125" style="6"/>
    <col min="6921" max="6921" width="8" style="6" customWidth="1"/>
    <col min="6922" max="6922" width="49.625" style="6" customWidth="1"/>
    <col min="6923" max="6923" width="17.75" style="6" customWidth="1"/>
    <col min="6924" max="6924" width="8.125" style="6" customWidth="1"/>
    <col min="6925" max="6925" width="15.75" style="6" customWidth="1"/>
    <col min="6926" max="6926" width="7.5" style="6" customWidth="1"/>
    <col min="6927" max="6927" width="17.625" style="6" customWidth="1"/>
    <col min="6928" max="6928" width="8.875" style="6" customWidth="1"/>
    <col min="6929" max="6929" width="15.625" style="6" customWidth="1"/>
    <col min="6930" max="6930" width="8" style="6" customWidth="1"/>
    <col min="6931" max="6931" width="20.25" style="6" customWidth="1"/>
    <col min="6932" max="7173" width="8" style="6" customWidth="1"/>
    <col min="7174" max="7174" width="61.875" style="6" bestFit="1" customWidth="1"/>
    <col min="7175" max="7175" width="17.75" style="6" customWidth="1"/>
    <col min="7176" max="7176" width="8.125" style="6"/>
    <col min="7177" max="7177" width="8" style="6" customWidth="1"/>
    <col min="7178" max="7178" width="49.625" style="6" customWidth="1"/>
    <col min="7179" max="7179" width="17.75" style="6" customWidth="1"/>
    <col min="7180" max="7180" width="8.125" style="6" customWidth="1"/>
    <col min="7181" max="7181" width="15.75" style="6" customWidth="1"/>
    <col min="7182" max="7182" width="7.5" style="6" customWidth="1"/>
    <col min="7183" max="7183" width="17.625" style="6" customWidth="1"/>
    <col min="7184" max="7184" width="8.875" style="6" customWidth="1"/>
    <col min="7185" max="7185" width="15.625" style="6" customWidth="1"/>
    <col min="7186" max="7186" width="8" style="6" customWidth="1"/>
    <col min="7187" max="7187" width="20.25" style="6" customWidth="1"/>
    <col min="7188" max="7429" width="8" style="6" customWidth="1"/>
    <col min="7430" max="7430" width="61.875" style="6" bestFit="1" customWidth="1"/>
    <col min="7431" max="7431" width="17.75" style="6" customWidth="1"/>
    <col min="7432" max="7432" width="8.125" style="6"/>
    <col min="7433" max="7433" width="8" style="6" customWidth="1"/>
    <col min="7434" max="7434" width="49.625" style="6" customWidth="1"/>
    <col min="7435" max="7435" width="17.75" style="6" customWidth="1"/>
    <col min="7436" max="7436" width="8.125" style="6" customWidth="1"/>
    <col min="7437" max="7437" width="15.75" style="6" customWidth="1"/>
    <col min="7438" max="7438" width="7.5" style="6" customWidth="1"/>
    <col min="7439" max="7439" width="17.625" style="6" customWidth="1"/>
    <col min="7440" max="7440" width="8.875" style="6" customWidth="1"/>
    <col min="7441" max="7441" width="15.625" style="6" customWidth="1"/>
    <col min="7442" max="7442" width="8" style="6" customWidth="1"/>
    <col min="7443" max="7443" width="20.25" style="6" customWidth="1"/>
    <col min="7444" max="7685" width="8" style="6" customWidth="1"/>
    <col min="7686" max="7686" width="61.875" style="6" bestFit="1" customWidth="1"/>
    <col min="7687" max="7687" width="17.75" style="6" customWidth="1"/>
    <col min="7688" max="7688" width="8.125" style="6"/>
    <col min="7689" max="7689" width="8" style="6" customWidth="1"/>
    <col min="7690" max="7690" width="49.625" style="6" customWidth="1"/>
    <col min="7691" max="7691" width="17.75" style="6" customWidth="1"/>
    <col min="7692" max="7692" width="8.125" style="6" customWidth="1"/>
    <col min="7693" max="7693" width="15.75" style="6" customWidth="1"/>
    <col min="7694" max="7694" width="7.5" style="6" customWidth="1"/>
    <col min="7695" max="7695" width="17.625" style="6" customWidth="1"/>
    <col min="7696" max="7696" width="8.875" style="6" customWidth="1"/>
    <col min="7697" max="7697" width="15.625" style="6" customWidth="1"/>
    <col min="7698" max="7698" width="8" style="6" customWidth="1"/>
    <col min="7699" max="7699" width="20.25" style="6" customWidth="1"/>
    <col min="7700" max="7941" width="8" style="6" customWidth="1"/>
    <col min="7942" max="7942" width="61.875" style="6" bestFit="1" customWidth="1"/>
    <col min="7943" max="7943" width="17.75" style="6" customWidth="1"/>
    <col min="7944" max="7944" width="8.125" style="6"/>
    <col min="7945" max="7945" width="8" style="6" customWidth="1"/>
    <col min="7946" max="7946" width="49.625" style="6" customWidth="1"/>
    <col min="7947" max="7947" width="17.75" style="6" customWidth="1"/>
    <col min="7948" max="7948" width="8.125" style="6" customWidth="1"/>
    <col min="7949" max="7949" width="15.75" style="6" customWidth="1"/>
    <col min="7950" max="7950" width="7.5" style="6" customWidth="1"/>
    <col min="7951" max="7951" width="17.625" style="6" customWidth="1"/>
    <col min="7952" max="7952" width="8.875" style="6" customWidth="1"/>
    <col min="7953" max="7953" width="15.625" style="6" customWidth="1"/>
    <col min="7954" max="7954" width="8" style="6" customWidth="1"/>
    <col min="7955" max="7955" width="20.25" style="6" customWidth="1"/>
    <col min="7956" max="8197" width="8" style="6" customWidth="1"/>
    <col min="8198" max="8198" width="61.875" style="6" bestFit="1" customWidth="1"/>
    <col min="8199" max="8199" width="17.75" style="6" customWidth="1"/>
    <col min="8200" max="8200" width="8.125" style="6"/>
    <col min="8201" max="8201" width="8" style="6" customWidth="1"/>
    <col min="8202" max="8202" width="49.625" style="6" customWidth="1"/>
    <col min="8203" max="8203" width="17.75" style="6" customWidth="1"/>
    <col min="8204" max="8204" width="8.125" style="6" customWidth="1"/>
    <col min="8205" max="8205" width="15.75" style="6" customWidth="1"/>
    <col min="8206" max="8206" width="7.5" style="6" customWidth="1"/>
    <col min="8207" max="8207" width="17.625" style="6" customWidth="1"/>
    <col min="8208" max="8208" width="8.875" style="6" customWidth="1"/>
    <col min="8209" max="8209" width="15.625" style="6" customWidth="1"/>
    <col min="8210" max="8210" width="8" style="6" customWidth="1"/>
    <col min="8211" max="8211" width="20.25" style="6" customWidth="1"/>
    <col min="8212" max="8453" width="8" style="6" customWidth="1"/>
    <col min="8454" max="8454" width="61.875" style="6" bestFit="1" customWidth="1"/>
    <col min="8455" max="8455" width="17.75" style="6" customWidth="1"/>
    <col min="8456" max="8456" width="8.125" style="6"/>
    <col min="8457" max="8457" width="8" style="6" customWidth="1"/>
    <col min="8458" max="8458" width="49.625" style="6" customWidth="1"/>
    <col min="8459" max="8459" width="17.75" style="6" customWidth="1"/>
    <col min="8460" max="8460" width="8.125" style="6" customWidth="1"/>
    <col min="8461" max="8461" width="15.75" style="6" customWidth="1"/>
    <col min="8462" max="8462" width="7.5" style="6" customWidth="1"/>
    <col min="8463" max="8463" width="17.625" style="6" customWidth="1"/>
    <col min="8464" max="8464" width="8.875" style="6" customWidth="1"/>
    <col min="8465" max="8465" width="15.625" style="6" customWidth="1"/>
    <col min="8466" max="8466" width="8" style="6" customWidth="1"/>
    <col min="8467" max="8467" width="20.25" style="6" customWidth="1"/>
    <col min="8468" max="8709" width="8" style="6" customWidth="1"/>
    <col min="8710" max="8710" width="61.875" style="6" bestFit="1" customWidth="1"/>
    <col min="8711" max="8711" width="17.75" style="6" customWidth="1"/>
    <col min="8712" max="8712" width="8.125" style="6"/>
    <col min="8713" max="8713" width="8" style="6" customWidth="1"/>
    <col min="8714" max="8714" width="49.625" style="6" customWidth="1"/>
    <col min="8715" max="8715" width="17.75" style="6" customWidth="1"/>
    <col min="8716" max="8716" width="8.125" style="6" customWidth="1"/>
    <col min="8717" max="8717" width="15.75" style="6" customWidth="1"/>
    <col min="8718" max="8718" width="7.5" style="6" customWidth="1"/>
    <col min="8719" max="8719" width="17.625" style="6" customWidth="1"/>
    <col min="8720" max="8720" width="8.875" style="6" customWidth="1"/>
    <col min="8721" max="8721" width="15.625" style="6" customWidth="1"/>
    <col min="8722" max="8722" width="8" style="6" customWidth="1"/>
    <col min="8723" max="8723" width="20.25" style="6" customWidth="1"/>
    <col min="8724" max="8965" width="8" style="6" customWidth="1"/>
    <col min="8966" max="8966" width="61.875" style="6" bestFit="1" customWidth="1"/>
    <col min="8967" max="8967" width="17.75" style="6" customWidth="1"/>
    <col min="8968" max="8968" width="8.125" style="6"/>
    <col min="8969" max="8969" width="8" style="6" customWidth="1"/>
    <col min="8970" max="8970" width="49.625" style="6" customWidth="1"/>
    <col min="8971" max="8971" width="17.75" style="6" customWidth="1"/>
    <col min="8972" max="8972" width="8.125" style="6" customWidth="1"/>
    <col min="8973" max="8973" width="15.75" style="6" customWidth="1"/>
    <col min="8974" max="8974" width="7.5" style="6" customWidth="1"/>
    <col min="8975" max="8975" width="17.625" style="6" customWidth="1"/>
    <col min="8976" max="8976" width="8.875" style="6" customWidth="1"/>
    <col min="8977" max="8977" width="15.625" style="6" customWidth="1"/>
    <col min="8978" max="8978" width="8" style="6" customWidth="1"/>
    <col min="8979" max="8979" width="20.25" style="6" customWidth="1"/>
    <col min="8980" max="9221" width="8" style="6" customWidth="1"/>
    <col min="9222" max="9222" width="61.875" style="6" bestFit="1" customWidth="1"/>
    <col min="9223" max="9223" width="17.75" style="6" customWidth="1"/>
    <col min="9224" max="9224" width="8.125" style="6"/>
    <col min="9225" max="9225" width="8" style="6" customWidth="1"/>
    <col min="9226" max="9226" width="49.625" style="6" customWidth="1"/>
    <col min="9227" max="9227" width="17.75" style="6" customWidth="1"/>
    <col min="9228" max="9228" width="8.125" style="6" customWidth="1"/>
    <col min="9229" max="9229" width="15.75" style="6" customWidth="1"/>
    <col min="9230" max="9230" width="7.5" style="6" customWidth="1"/>
    <col min="9231" max="9231" width="17.625" style="6" customWidth="1"/>
    <col min="9232" max="9232" width="8.875" style="6" customWidth="1"/>
    <col min="9233" max="9233" width="15.625" style="6" customWidth="1"/>
    <col min="9234" max="9234" width="8" style="6" customWidth="1"/>
    <col min="9235" max="9235" width="20.25" style="6" customWidth="1"/>
    <col min="9236" max="9477" width="8" style="6" customWidth="1"/>
    <col min="9478" max="9478" width="61.875" style="6" bestFit="1" customWidth="1"/>
    <col min="9479" max="9479" width="17.75" style="6" customWidth="1"/>
    <col min="9480" max="9480" width="8.125" style="6"/>
    <col min="9481" max="9481" width="8" style="6" customWidth="1"/>
    <col min="9482" max="9482" width="49.625" style="6" customWidth="1"/>
    <col min="9483" max="9483" width="17.75" style="6" customWidth="1"/>
    <col min="9484" max="9484" width="8.125" style="6" customWidth="1"/>
    <col min="9485" max="9485" width="15.75" style="6" customWidth="1"/>
    <col min="9486" max="9486" width="7.5" style="6" customWidth="1"/>
    <col min="9487" max="9487" width="17.625" style="6" customWidth="1"/>
    <col min="9488" max="9488" width="8.875" style="6" customWidth="1"/>
    <col min="9489" max="9489" width="15.625" style="6" customWidth="1"/>
    <col min="9490" max="9490" width="8" style="6" customWidth="1"/>
    <col min="9491" max="9491" width="20.25" style="6" customWidth="1"/>
    <col min="9492" max="9733" width="8" style="6" customWidth="1"/>
    <col min="9734" max="9734" width="61.875" style="6" bestFit="1" customWidth="1"/>
    <col min="9735" max="9735" width="17.75" style="6" customWidth="1"/>
    <col min="9736" max="9736" width="8.125" style="6"/>
    <col min="9737" max="9737" width="8" style="6" customWidth="1"/>
    <col min="9738" max="9738" width="49.625" style="6" customWidth="1"/>
    <col min="9739" max="9739" width="17.75" style="6" customWidth="1"/>
    <col min="9740" max="9740" width="8.125" style="6" customWidth="1"/>
    <col min="9741" max="9741" width="15.75" style="6" customWidth="1"/>
    <col min="9742" max="9742" width="7.5" style="6" customWidth="1"/>
    <col min="9743" max="9743" width="17.625" style="6" customWidth="1"/>
    <col min="9744" max="9744" width="8.875" style="6" customWidth="1"/>
    <col min="9745" max="9745" width="15.625" style="6" customWidth="1"/>
    <col min="9746" max="9746" width="8" style="6" customWidth="1"/>
    <col min="9747" max="9747" width="20.25" style="6" customWidth="1"/>
    <col min="9748" max="9989" width="8" style="6" customWidth="1"/>
    <col min="9990" max="9990" width="61.875" style="6" bestFit="1" customWidth="1"/>
    <col min="9991" max="9991" width="17.75" style="6" customWidth="1"/>
    <col min="9992" max="9992" width="8.125" style="6"/>
    <col min="9993" max="9993" width="8" style="6" customWidth="1"/>
    <col min="9994" max="9994" width="49.625" style="6" customWidth="1"/>
    <col min="9995" max="9995" width="17.75" style="6" customWidth="1"/>
    <col min="9996" max="9996" width="8.125" style="6" customWidth="1"/>
    <col min="9997" max="9997" width="15.75" style="6" customWidth="1"/>
    <col min="9998" max="9998" width="7.5" style="6" customWidth="1"/>
    <col min="9999" max="9999" width="17.625" style="6" customWidth="1"/>
    <col min="10000" max="10000" width="8.875" style="6" customWidth="1"/>
    <col min="10001" max="10001" width="15.625" style="6" customWidth="1"/>
    <col min="10002" max="10002" width="8" style="6" customWidth="1"/>
    <col min="10003" max="10003" width="20.25" style="6" customWidth="1"/>
    <col min="10004" max="10245" width="8" style="6" customWidth="1"/>
    <col min="10246" max="10246" width="61.875" style="6" bestFit="1" customWidth="1"/>
    <col min="10247" max="10247" width="17.75" style="6" customWidth="1"/>
    <col min="10248" max="10248" width="8.125" style="6"/>
    <col min="10249" max="10249" width="8" style="6" customWidth="1"/>
    <col min="10250" max="10250" width="49.625" style="6" customWidth="1"/>
    <col min="10251" max="10251" width="17.75" style="6" customWidth="1"/>
    <col min="10252" max="10252" width="8.125" style="6" customWidth="1"/>
    <col min="10253" max="10253" width="15.75" style="6" customWidth="1"/>
    <col min="10254" max="10254" width="7.5" style="6" customWidth="1"/>
    <col min="10255" max="10255" width="17.625" style="6" customWidth="1"/>
    <col min="10256" max="10256" width="8.875" style="6" customWidth="1"/>
    <col min="10257" max="10257" width="15.625" style="6" customWidth="1"/>
    <col min="10258" max="10258" width="8" style="6" customWidth="1"/>
    <col min="10259" max="10259" width="20.25" style="6" customWidth="1"/>
    <col min="10260" max="10501" width="8" style="6" customWidth="1"/>
    <col min="10502" max="10502" width="61.875" style="6" bestFit="1" customWidth="1"/>
    <col min="10503" max="10503" width="17.75" style="6" customWidth="1"/>
    <col min="10504" max="10504" width="8.125" style="6"/>
    <col min="10505" max="10505" width="8" style="6" customWidth="1"/>
    <col min="10506" max="10506" width="49.625" style="6" customWidth="1"/>
    <col min="10507" max="10507" width="17.75" style="6" customWidth="1"/>
    <col min="10508" max="10508" width="8.125" style="6" customWidth="1"/>
    <col min="10509" max="10509" width="15.75" style="6" customWidth="1"/>
    <col min="10510" max="10510" width="7.5" style="6" customWidth="1"/>
    <col min="10511" max="10511" width="17.625" style="6" customWidth="1"/>
    <col min="10512" max="10512" width="8.875" style="6" customWidth="1"/>
    <col min="10513" max="10513" width="15.625" style="6" customWidth="1"/>
    <col min="10514" max="10514" width="8" style="6" customWidth="1"/>
    <col min="10515" max="10515" width="20.25" style="6" customWidth="1"/>
    <col min="10516" max="10757" width="8" style="6" customWidth="1"/>
    <col min="10758" max="10758" width="61.875" style="6" bestFit="1" customWidth="1"/>
    <col min="10759" max="10759" width="17.75" style="6" customWidth="1"/>
    <col min="10760" max="10760" width="8.125" style="6"/>
    <col min="10761" max="10761" width="8" style="6" customWidth="1"/>
    <col min="10762" max="10762" width="49.625" style="6" customWidth="1"/>
    <col min="10763" max="10763" width="17.75" style="6" customWidth="1"/>
    <col min="10764" max="10764" width="8.125" style="6" customWidth="1"/>
    <col min="10765" max="10765" width="15.75" style="6" customWidth="1"/>
    <col min="10766" max="10766" width="7.5" style="6" customWidth="1"/>
    <col min="10767" max="10767" width="17.625" style="6" customWidth="1"/>
    <col min="10768" max="10768" width="8.875" style="6" customWidth="1"/>
    <col min="10769" max="10769" width="15.625" style="6" customWidth="1"/>
    <col min="10770" max="10770" width="8" style="6" customWidth="1"/>
    <col min="10771" max="10771" width="20.25" style="6" customWidth="1"/>
    <col min="10772" max="11013" width="8" style="6" customWidth="1"/>
    <col min="11014" max="11014" width="61.875" style="6" bestFit="1" customWidth="1"/>
    <col min="11015" max="11015" width="17.75" style="6" customWidth="1"/>
    <col min="11016" max="11016" width="8.125" style="6"/>
    <col min="11017" max="11017" width="8" style="6" customWidth="1"/>
    <col min="11018" max="11018" width="49.625" style="6" customWidth="1"/>
    <col min="11019" max="11019" width="17.75" style="6" customWidth="1"/>
    <col min="11020" max="11020" width="8.125" style="6" customWidth="1"/>
    <col min="11021" max="11021" width="15.75" style="6" customWidth="1"/>
    <col min="11022" max="11022" width="7.5" style="6" customWidth="1"/>
    <col min="11023" max="11023" width="17.625" style="6" customWidth="1"/>
    <col min="11024" max="11024" width="8.875" style="6" customWidth="1"/>
    <col min="11025" max="11025" width="15.625" style="6" customWidth="1"/>
    <col min="11026" max="11026" width="8" style="6" customWidth="1"/>
    <col min="11027" max="11027" width="20.25" style="6" customWidth="1"/>
    <col min="11028" max="11269" width="8" style="6" customWidth="1"/>
    <col min="11270" max="11270" width="61.875" style="6" bestFit="1" customWidth="1"/>
    <col min="11271" max="11271" width="17.75" style="6" customWidth="1"/>
    <col min="11272" max="11272" width="8.125" style="6"/>
    <col min="11273" max="11273" width="8" style="6" customWidth="1"/>
    <col min="11274" max="11274" width="49.625" style="6" customWidth="1"/>
    <col min="11275" max="11275" width="17.75" style="6" customWidth="1"/>
    <col min="11276" max="11276" width="8.125" style="6" customWidth="1"/>
    <col min="11277" max="11277" width="15.75" style="6" customWidth="1"/>
    <col min="11278" max="11278" width="7.5" style="6" customWidth="1"/>
    <col min="11279" max="11279" width="17.625" style="6" customWidth="1"/>
    <col min="11280" max="11280" width="8.875" style="6" customWidth="1"/>
    <col min="11281" max="11281" width="15.625" style="6" customWidth="1"/>
    <col min="11282" max="11282" width="8" style="6" customWidth="1"/>
    <col min="11283" max="11283" width="20.25" style="6" customWidth="1"/>
    <col min="11284" max="11525" width="8" style="6" customWidth="1"/>
    <col min="11526" max="11526" width="61.875" style="6" bestFit="1" customWidth="1"/>
    <col min="11527" max="11527" width="17.75" style="6" customWidth="1"/>
    <col min="11528" max="11528" width="8.125" style="6"/>
    <col min="11529" max="11529" width="8" style="6" customWidth="1"/>
    <col min="11530" max="11530" width="49.625" style="6" customWidth="1"/>
    <col min="11531" max="11531" width="17.75" style="6" customWidth="1"/>
    <col min="11532" max="11532" width="8.125" style="6" customWidth="1"/>
    <col min="11533" max="11533" width="15.75" style="6" customWidth="1"/>
    <col min="11534" max="11534" width="7.5" style="6" customWidth="1"/>
    <col min="11535" max="11535" width="17.625" style="6" customWidth="1"/>
    <col min="11536" max="11536" width="8.875" style="6" customWidth="1"/>
    <col min="11537" max="11537" width="15.625" style="6" customWidth="1"/>
    <col min="11538" max="11538" width="8" style="6" customWidth="1"/>
    <col min="11539" max="11539" width="20.25" style="6" customWidth="1"/>
    <col min="11540" max="11781" width="8" style="6" customWidth="1"/>
    <col min="11782" max="11782" width="61.875" style="6" bestFit="1" customWidth="1"/>
    <col min="11783" max="11783" width="17.75" style="6" customWidth="1"/>
    <col min="11784" max="11784" width="8.125" style="6"/>
    <col min="11785" max="11785" width="8" style="6" customWidth="1"/>
    <col min="11786" max="11786" width="49.625" style="6" customWidth="1"/>
    <col min="11787" max="11787" width="17.75" style="6" customWidth="1"/>
    <col min="11788" max="11788" width="8.125" style="6" customWidth="1"/>
    <col min="11789" max="11789" width="15.75" style="6" customWidth="1"/>
    <col min="11790" max="11790" width="7.5" style="6" customWidth="1"/>
    <col min="11791" max="11791" width="17.625" style="6" customWidth="1"/>
    <col min="11792" max="11792" width="8.875" style="6" customWidth="1"/>
    <col min="11793" max="11793" width="15.625" style="6" customWidth="1"/>
    <col min="11794" max="11794" width="8" style="6" customWidth="1"/>
    <col min="11795" max="11795" width="20.25" style="6" customWidth="1"/>
    <col min="11796" max="12037" width="8" style="6" customWidth="1"/>
    <col min="12038" max="12038" width="61.875" style="6" bestFit="1" customWidth="1"/>
    <col min="12039" max="12039" width="17.75" style="6" customWidth="1"/>
    <col min="12040" max="12040" width="8.125" style="6"/>
    <col min="12041" max="12041" width="8" style="6" customWidth="1"/>
    <col min="12042" max="12042" width="49.625" style="6" customWidth="1"/>
    <col min="12043" max="12043" width="17.75" style="6" customWidth="1"/>
    <col min="12044" max="12044" width="8.125" style="6" customWidth="1"/>
    <col min="12045" max="12045" width="15.75" style="6" customWidth="1"/>
    <col min="12046" max="12046" width="7.5" style="6" customWidth="1"/>
    <col min="12047" max="12047" width="17.625" style="6" customWidth="1"/>
    <col min="12048" max="12048" width="8.875" style="6" customWidth="1"/>
    <col min="12049" max="12049" width="15.625" style="6" customWidth="1"/>
    <col min="12050" max="12050" width="8" style="6" customWidth="1"/>
    <col min="12051" max="12051" width="20.25" style="6" customWidth="1"/>
    <col min="12052" max="12293" width="8" style="6" customWidth="1"/>
    <col min="12294" max="12294" width="61.875" style="6" bestFit="1" customWidth="1"/>
    <col min="12295" max="12295" width="17.75" style="6" customWidth="1"/>
    <col min="12296" max="12296" width="8.125" style="6"/>
    <col min="12297" max="12297" width="8" style="6" customWidth="1"/>
    <col min="12298" max="12298" width="49.625" style="6" customWidth="1"/>
    <col min="12299" max="12299" width="17.75" style="6" customWidth="1"/>
    <col min="12300" max="12300" width="8.125" style="6" customWidth="1"/>
    <col min="12301" max="12301" width="15.75" style="6" customWidth="1"/>
    <col min="12302" max="12302" width="7.5" style="6" customWidth="1"/>
    <col min="12303" max="12303" width="17.625" style="6" customWidth="1"/>
    <col min="12304" max="12304" width="8.875" style="6" customWidth="1"/>
    <col min="12305" max="12305" width="15.625" style="6" customWidth="1"/>
    <col min="12306" max="12306" width="8" style="6" customWidth="1"/>
    <col min="12307" max="12307" width="20.25" style="6" customWidth="1"/>
    <col min="12308" max="12549" width="8" style="6" customWidth="1"/>
    <col min="12550" max="12550" width="61.875" style="6" bestFit="1" customWidth="1"/>
    <col min="12551" max="12551" width="17.75" style="6" customWidth="1"/>
    <col min="12552" max="12552" width="8.125" style="6"/>
    <col min="12553" max="12553" width="8" style="6" customWidth="1"/>
    <col min="12554" max="12554" width="49.625" style="6" customWidth="1"/>
    <col min="12555" max="12555" width="17.75" style="6" customWidth="1"/>
    <col min="12556" max="12556" width="8.125" style="6" customWidth="1"/>
    <col min="12557" max="12557" width="15.75" style="6" customWidth="1"/>
    <col min="12558" max="12558" width="7.5" style="6" customWidth="1"/>
    <col min="12559" max="12559" width="17.625" style="6" customWidth="1"/>
    <col min="12560" max="12560" width="8.875" style="6" customWidth="1"/>
    <col min="12561" max="12561" width="15.625" style="6" customWidth="1"/>
    <col min="12562" max="12562" width="8" style="6" customWidth="1"/>
    <col min="12563" max="12563" width="20.25" style="6" customWidth="1"/>
    <col min="12564" max="12805" width="8" style="6" customWidth="1"/>
    <col min="12806" max="12806" width="61.875" style="6" bestFit="1" customWidth="1"/>
    <col min="12807" max="12807" width="17.75" style="6" customWidth="1"/>
    <col min="12808" max="12808" width="8.125" style="6"/>
    <col min="12809" max="12809" width="8" style="6" customWidth="1"/>
    <col min="12810" max="12810" width="49.625" style="6" customWidth="1"/>
    <col min="12811" max="12811" width="17.75" style="6" customWidth="1"/>
    <col min="12812" max="12812" width="8.125" style="6" customWidth="1"/>
    <col min="12813" max="12813" width="15.75" style="6" customWidth="1"/>
    <col min="12814" max="12814" width="7.5" style="6" customWidth="1"/>
    <col min="12815" max="12815" width="17.625" style="6" customWidth="1"/>
    <col min="12816" max="12816" width="8.875" style="6" customWidth="1"/>
    <col min="12817" max="12817" width="15.625" style="6" customWidth="1"/>
    <col min="12818" max="12818" width="8" style="6" customWidth="1"/>
    <col min="12819" max="12819" width="20.25" style="6" customWidth="1"/>
    <col min="12820" max="13061" width="8" style="6" customWidth="1"/>
    <col min="13062" max="13062" width="61.875" style="6" bestFit="1" customWidth="1"/>
    <col min="13063" max="13063" width="17.75" style="6" customWidth="1"/>
    <col min="13064" max="13064" width="8.125" style="6"/>
    <col min="13065" max="13065" width="8" style="6" customWidth="1"/>
    <col min="13066" max="13066" width="49.625" style="6" customWidth="1"/>
    <col min="13067" max="13067" width="17.75" style="6" customWidth="1"/>
    <col min="13068" max="13068" width="8.125" style="6" customWidth="1"/>
    <col min="13069" max="13069" width="15.75" style="6" customWidth="1"/>
    <col min="13070" max="13070" width="7.5" style="6" customWidth="1"/>
    <col min="13071" max="13071" width="17.625" style="6" customWidth="1"/>
    <col min="13072" max="13072" width="8.875" style="6" customWidth="1"/>
    <col min="13073" max="13073" width="15.625" style="6" customWidth="1"/>
    <col min="13074" max="13074" width="8" style="6" customWidth="1"/>
    <col min="13075" max="13075" width="20.25" style="6" customWidth="1"/>
    <col min="13076" max="13317" width="8" style="6" customWidth="1"/>
    <col min="13318" max="13318" width="61.875" style="6" bestFit="1" customWidth="1"/>
    <col min="13319" max="13319" width="17.75" style="6" customWidth="1"/>
    <col min="13320" max="13320" width="8.125" style="6"/>
    <col min="13321" max="13321" width="8" style="6" customWidth="1"/>
    <col min="13322" max="13322" width="49.625" style="6" customWidth="1"/>
    <col min="13323" max="13323" width="17.75" style="6" customWidth="1"/>
    <col min="13324" max="13324" width="8.125" style="6" customWidth="1"/>
    <col min="13325" max="13325" width="15.75" style="6" customWidth="1"/>
    <col min="13326" max="13326" width="7.5" style="6" customWidth="1"/>
    <col min="13327" max="13327" width="17.625" style="6" customWidth="1"/>
    <col min="13328" max="13328" width="8.875" style="6" customWidth="1"/>
    <col min="13329" max="13329" width="15.625" style="6" customWidth="1"/>
    <col min="13330" max="13330" width="8" style="6" customWidth="1"/>
    <col min="13331" max="13331" width="20.25" style="6" customWidth="1"/>
    <col min="13332" max="13573" width="8" style="6" customWidth="1"/>
    <col min="13574" max="13574" width="61.875" style="6" bestFit="1" customWidth="1"/>
    <col min="13575" max="13575" width="17.75" style="6" customWidth="1"/>
    <col min="13576" max="13576" width="8.125" style="6"/>
    <col min="13577" max="13577" width="8" style="6" customWidth="1"/>
    <col min="13578" max="13578" width="49.625" style="6" customWidth="1"/>
    <col min="13579" max="13579" width="17.75" style="6" customWidth="1"/>
    <col min="13580" max="13580" width="8.125" style="6" customWidth="1"/>
    <col min="13581" max="13581" width="15.75" style="6" customWidth="1"/>
    <col min="13582" max="13582" width="7.5" style="6" customWidth="1"/>
    <col min="13583" max="13583" width="17.625" style="6" customWidth="1"/>
    <col min="13584" max="13584" width="8.875" style="6" customWidth="1"/>
    <col min="13585" max="13585" width="15.625" style="6" customWidth="1"/>
    <col min="13586" max="13586" width="8" style="6" customWidth="1"/>
    <col min="13587" max="13587" width="20.25" style="6" customWidth="1"/>
    <col min="13588" max="13829" width="8" style="6" customWidth="1"/>
    <col min="13830" max="13830" width="61.875" style="6" bestFit="1" customWidth="1"/>
    <col min="13831" max="13831" width="17.75" style="6" customWidth="1"/>
    <col min="13832" max="13832" width="8.125" style="6"/>
    <col min="13833" max="13833" width="8" style="6" customWidth="1"/>
    <col min="13834" max="13834" width="49.625" style="6" customWidth="1"/>
    <col min="13835" max="13835" width="17.75" style="6" customWidth="1"/>
    <col min="13836" max="13836" width="8.125" style="6" customWidth="1"/>
    <col min="13837" max="13837" width="15.75" style="6" customWidth="1"/>
    <col min="13838" max="13838" width="7.5" style="6" customWidth="1"/>
    <col min="13839" max="13839" width="17.625" style="6" customWidth="1"/>
    <col min="13840" max="13840" width="8.875" style="6" customWidth="1"/>
    <col min="13841" max="13841" width="15.625" style="6" customWidth="1"/>
    <col min="13842" max="13842" width="8" style="6" customWidth="1"/>
    <col min="13843" max="13843" width="20.25" style="6" customWidth="1"/>
    <col min="13844" max="14085" width="8" style="6" customWidth="1"/>
    <col min="14086" max="14086" width="61.875" style="6" bestFit="1" customWidth="1"/>
    <col min="14087" max="14087" width="17.75" style="6" customWidth="1"/>
    <col min="14088" max="14088" width="8.125" style="6"/>
    <col min="14089" max="14089" width="8" style="6" customWidth="1"/>
    <col min="14090" max="14090" width="49.625" style="6" customWidth="1"/>
    <col min="14091" max="14091" width="17.75" style="6" customWidth="1"/>
    <col min="14092" max="14092" width="8.125" style="6" customWidth="1"/>
    <col min="14093" max="14093" width="15.75" style="6" customWidth="1"/>
    <col min="14094" max="14094" width="7.5" style="6" customWidth="1"/>
    <col min="14095" max="14095" width="17.625" style="6" customWidth="1"/>
    <col min="14096" max="14096" width="8.875" style="6" customWidth="1"/>
    <col min="14097" max="14097" width="15.625" style="6" customWidth="1"/>
    <col min="14098" max="14098" width="8" style="6" customWidth="1"/>
    <col min="14099" max="14099" width="20.25" style="6" customWidth="1"/>
    <col min="14100" max="14341" width="8" style="6" customWidth="1"/>
    <col min="14342" max="14342" width="61.875" style="6" bestFit="1" customWidth="1"/>
    <col min="14343" max="14343" width="17.75" style="6" customWidth="1"/>
    <col min="14344" max="14344" width="8.125" style="6"/>
    <col min="14345" max="14345" width="8" style="6" customWidth="1"/>
    <col min="14346" max="14346" width="49.625" style="6" customWidth="1"/>
    <col min="14347" max="14347" width="17.75" style="6" customWidth="1"/>
    <col min="14348" max="14348" width="8.125" style="6" customWidth="1"/>
    <col min="14349" max="14349" width="15.75" style="6" customWidth="1"/>
    <col min="14350" max="14350" width="7.5" style="6" customWidth="1"/>
    <col min="14351" max="14351" width="17.625" style="6" customWidth="1"/>
    <col min="14352" max="14352" width="8.875" style="6" customWidth="1"/>
    <col min="14353" max="14353" width="15.625" style="6" customWidth="1"/>
    <col min="14354" max="14354" width="8" style="6" customWidth="1"/>
    <col min="14355" max="14355" width="20.25" style="6" customWidth="1"/>
    <col min="14356" max="14597" width="8" style="6" customWidth="1"/>
    <col min="14598" max="14598" width="61.875" style="6" bestFit="1" customWidth="1"/>
    <col min="14599" max="14599" width="17.75" style="6" customWidth="1"/>
    <col min="14600" max="14600" width="8.125" style="6"/>
    <col min="14601" max="14601" width="8" style="6" customWidth="1"/>
    <col min="14602" max="14602" width="49.625" style="6" customWidth="1"/>
    <col min="14603" max="14603" width="17.75" style="6" customWidth="1"/>
    <col min="14604" max="14604" width="8.125" style="6" customWidth="1"/>
    <col min="14605" max="14605" width="15.75" style="6" customWidth="1"/>
    <col min="14606" max="14606" width="7.5" style="6" customWidth="1"/>
    <col min="14607" max="14607" width="17.625" style="6" customWidth="1"/>
    <col min="14608" max="14608" width="8.875" style="6" customWidth="1"/>
    <col min="14609" max="14609" width="15.625" style="6" customWidth="1"/>
    <col min="14610" max="14610" width="8" style="6" customWidth="1"/>
    <col min="14611" max="14611" width="20.25" style="6" customWidth="1"/>
    <col min="14612" max="14853" width="8" style="6" customWidth="1"/>
    <col min="14854" max="14854" width="61.875" style="6" bestFit="1" customWidth="1"/>
    <col min="14855" max="14855" width="17.75" style="6" customWidth="1"/>
    <col min="14856" max="14856" width="8.125" style="6"/>
    <col min="14857" max="14857" width="8" style="6" customWidth="1"/>
    <col min="14858" max="14858" width="49.625" style="6" customWidth="1"/>
    <col min="14859" max="14859" width="17.75" style="6" customWidth="1"/>
    <col min="14860" max="14860" width="8.125" style="6" customWidth="1"/>
    <col min="14861" max="14861" width="15.75" style="6" customWidth="1"/>
    <col min="14862" max="14862" width="7.5" style="6" customWidth="1"/>
    <col min="14863" max="14863" width="17.625" style="6" customWidth="1"/>
    <col min="14864" max="14864" width="8.875" style="6" customWidth="1"/>
    <col min="14865" max="14865" width="15.625" style="6" customWidth="1"/>
    <col min="14866" max="14866" width="8" style="6" customWidth="1"/>
    <col min="14867" max="14867" width="20.25" style="6" customWidth="1"/>
    <col min="14868" max="15109" width="8" style="6" customWidth="1"/>
    <col min="15110" max="15110" width="61.875" style="6" bestFit="1" customWidth="1"/>
    <col min="15111" max="15111" width="17.75" style="6" customWidth="1"/>
    <col min="15112" max="15112" width="8.125" style="6"/>
    <col min="15113" max="15113" width="8" style="6" customWidth="1"/>
    <col min="15114" max="15114" width="49.625" style="6" customWidth="1"/>
    <col min="15115" max="15115" width="17.75" style="6" customWidth="1"/>
    <col min="15116" max="15116" width="8.125" style="6" customWidth="1"/>
    <col min="15117" max="15117" width="15.75" style="6" customWidth="1"/>
    <col min="15118" max="15118" width="7.5" style="6" customWidth="1"/>
    <col min="15119" max="15119" width="17.625" style="6" customWidth="1"/>
    <col min="15120" max="15120" width="8.875" style="6" customWidth="1"/>
    <col min="15121" max="15121" width="15.625" style="6" customWidth="1"/>
    <col min="15122" max="15122" width="8" style="6" customWidth="1"/>
    <col min="15123" max="15123" width="20.25" style="6" customWidth="1"/>
    <col min="15124" max="15365" width="8" style="6" customWidth="1"/>
    <col min="15366" max="15366" width="61.875" style="6" bestFit="1" customWidth="1"/>
    <col min="15367" max="15367" width="17.75" style="6" customWidth="1"/>
    <col min="15368" max="15368" width="8.125" style="6"/>
    <col min="15369" max="15369" width="8" style="6" customWidth="1"/>
    <col min="15370" max="15370" width="49.625" style="6" customWidth="1"/>
    <col min="15371" max="15371" width="17.75" style="6" customWidth="1"/>
    <col min="15372" max="15372" width="8.125" style="6" customWidth="1"/>
    <col min="15373" max="15373" width="15.75" style="6" customWidth="1"/>
    <col min="15374" max="15374" width="7.5" style="6" customWidth="1"/>
    <col min="15375" max="15375" width="17.625" style="6" customWidth="1"/>
    <col min="15376" max="15376" width="8.875" style="6" customWidth="1"/>
    <col min="15377" max="15377" width="15.625" style="6" customWidth="1"/>
    <col min="15378" max="15378" width="8" style="6" customWidth="1"/>
    <col min="15379" max="15379" width="20.25" style="6" customWidth="1"/>
    <col min="15380" max="15621" width="8" style="6" customWidth="1"/>
    <col min="15622" max="15622" width="61.875" style="6" bestFit="1" customWidth="1"/>
    <col min="15623" max="15623" width="17.75" style="6" customWidth="1"/>
    <col min="15624" max="15624" width="8.125" style="6"/>
    <col min="15625" max="15625" width="8" style="6" customWidth="1"/>
    <col min="15626" max="15626" width="49.625" style="6" customWidth="1"/>
    <col min="15627" max="15627" width="17.75" style="6" customWidth="1"/>
    <col min="15628" max="15628" width="8.125" style="6" customWidth="1"/>
    <col min="15629" max="15629" width="15.75" style="6" customWidth="1"/>
    <col min="15630" max="15630" width="7.5" style="6" customWidth="1"/>
    <col min="15631" max="15631" width="17.625" style="6" customWidth="1"/>
    <col min="15632" max="15632" width="8.875" style="6" customWidth="1"/>
    <col min="15633" max="15633" width="15.625" style="6" customWidth="1"/>
    <col min="15634" max="15634" width="8" style="6" customWidth="1"/>
    <col min="15635" max="15635" width="20.25" style="6" customWidth="1"/>
    <col min="15636" max="15877" width="8" style="6" customWidth="1"/>
    <col min="15878" max="15878" width="61.875" style="6" bestFit="1" customWidth="1"/>
    <col min="15879" max="15879" width="17.75" style="6" customWidth="1"/>
    <col min="15880" max="15880" width="8.125" style="6"/>
    <col min="15881" max="15881" width="8" style="6" customWidth="1"/>
    <col min="15882" max="15882" width="49.625" style="6" customWidth="1"/>
    <col min="15883" max="15883" width="17.75" style="6" customWidth="1"/>
    <col min="15884" max="15884" width="8.125" style="6" customWidth="1"/>
    <col min="15885" max="15885" width="15.75" style="6" customWidth="1"/>
    <col min="15886" max="15886" width="7.5" style="6" customWidth="1"/>
    <col min="15887" max="15887" width="17.625" style="6" customWidth="1"/>
    <col min="15888" max="15888" width="8.875" style="6" customWidth="1"/>
    <col min="15889" max="15889" width="15.625" style="6" customWidth="1"/>
    <col min="15890" max="15890" width="8" style="6" customWidth="1"/>
    <col min="15891" max="15891" width="20.25" style="6" customWidth="1"/>
    <col min="15892" max="16133" width="8" style="6" customWidth="1"/>
    <col min="16134" max="16134" width="61.875" style="6" bestFit="1" customWidth="1"/>
    <col min="16135" max="16135" width="17.75" style="6" customWidth="1"/>
    <col min="16136" max="16136" width="8.125" style="6"/>
    <col min="16137" max="16137" width="8" style="6" customWidth="1"/>
    <col min="16138" max="16138" width="49.625" style="6" customWidth="1"/>
    <col min="16139" max="16139" width="17.75" style="6" customWidth="1"/>
    <col min="16140" max="16140" width="8.125" style="6" customWidth="1"/>
    <col min="16141" max="16141" width="15.75" style="6" customWidth="1"/>
    <col min="16142" max="16142" width="7.5" style="6" customWidth="1"/>
    <col min="16143" max="16143" width="17.625" style="6" customWidth="1"/>
    <col min="16144" max="16144" width="8.875" style="6" customWidth="1"/>
    <col min="16145" max="16145" width="15.625" style="6" customWidth="1"/>
    <col min="16146" max="16146" width="8" style="6" customWidth="1"/>
    <col min="16147" max="16147" width="20.25" style="6" customWidth="1"/>
    <col min="16148" max="16384" width="8" style="6" customWidth="1"/>
  </cols>
  <sheetData>
    <row r="1" spans="1:264" ht="84.75" customHeight="1" x14ac:dyDescent="0.2">
      <c r="A1" s="271" t="s">
        <v>73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</row>
    <row r="2" spans="1:264" ht="18.75" x14ac:dyDescent="0.2">
      <c r="A2" s="274" t="s">
        <v>74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</row>
    <row r="3" spans="1:264" ht="15" x14ac:dyDescent="0.25">
      <c r="A3" s="8" t="s">
        <v>75</v>
      </c>
      <c r="B3" s="277" t="str">
        <f>ORÇA!B2</f>
        <v>INFRAESTRUTURA URBANA - REFORMA E REVITALIZAÇÃO DE CANTEIRO CENTRAL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9" t="s">
        <v>76</v>
      </c>
      <c r="Q3" s="158" t="s">
        <v>118</v>
      </c>
    </row>
    <row r="4" spans="1:264" ht="15" x14ac:dyDescent="0.25">
      <c r="A4" s="8" t="s">
        <v>77</v>
      </c>
      <c r="B4" s="277" t="s">
        <v>260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>
        <f>'BDI DES'!I22</f>
        <v>0.28347674918197008</v>
      </c>
      <c r="Q4" s="291" t="str">
        <f>ORÇA!I3</f>
        <v>SINAPI - 05/2022 - MS</v>
      </c>
    </row>
    <row r="5" spans="1:264" ht="15.75" thickBot="1" x14ac:dyDescent="0.3">
      <c r="A5" s="8" t="s">
        <v>78</v>
      </c>
      <c r="B5" s="277" t="str">
        <f>[1]PL.ORÇ.!$B$4</f>
        <v>RUA AQUIDABAN - SIDROLÂNDIA/MS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80"/>
      <c r="Q5" s="292"/>
    </row>
    <row r="6" spans="1:264" x14ac:dyDescent="0.2">
      <c r="A6" s="285" t="s">
        <v>79</v>
      </c>
      <c r="B6" s="281" t="s">
        <v>80</v>
      </c>
      <c r="C6" s="281" t="s">
        <v>81</v>
      </c>
      <c r="D6" s="281"/>
      <c r="E6" s="281" t="s">
        <v>82</v>
      </c>
      <c r="F6" s="281"/>
      <c r="G6" s="281" t="s">
        <v>83</v>
      </c>
      <c r="H6" s="281"/>
      <c r="I6" s="281" t="s">
        <v>179</v>
      </c>
      <c r="J6" s="281"/>
      <c r="K6" s="281" t="s">
        <v>180</v>
      </c>
      <c r="L6" s="281"/>
      <c r="M6" s="281" t="s">
        <v>181</v>
      </c>
      <c r="N6" s="281"/>
      <c r="O6" s="265" t="s">
        <v>182</v>
      </c>
      <c r="P6" s="266"/>
      <c r="Q6" s="269" t="s">
        <v>84</v>
      </c>
    </row>
    <row r="7" spans="1:264" x14ac:dyDescent="0.2">
      <c r="A7" s="286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67"/>
      <c r="P7" s="268"/>
      <c r="Q7" s="270"/>
    </row>
    <row r="8" spans="1:264" ht="15.75" thickBot="1" x14ac:dyDescent="0.25">
      <c r="A8" s="287"/>
      <c r="B8" s="288"/>
      <c r="C8" s="10" t="s">
        <v>85</v>
      </c>
      <c r="D8" s="10" t="s">
        <v>86</v>
      </c>
      <c r="E8" s="11" t="s">
        <v>85</v>
      </c>
      <c r="F8" s="12" t="s">
        <v>86</v>
      </c>
      <c r="G8" s="11" t="s">
        <v>85</v>
      </c>
      <c r="H8" s="12" t="s">
        <v>86</v>
      </c>
      <c r="I8" s="11" t="s">
        <v>85</v>
      </c>
      <c r="J8" s="12" t="s">
        <v>86</v>
      </c>
      <c r="K8" s="11" t="s">
        <v>85</v>
      </c>
      <c r="L8" s="12" t="s">
        <v>86</v>
      </c>
      <c r="M8" s="11" t="s">
        <v>85</v>
      </c>
      <c r="N8" s="12" t="s">
        <v>86</v>
      </c>
      <c r="O8" s="11" t="s">
        <v>85</v>
      </c>
      <c r="P8" s="13" t="s">
        <v>86</v>
      </c>
      <c r="Q8" s="14" t="s">
        <v>85</v>
      </c>
    </row>
    <row r="9" spans="1:264" ht="15" x14ac:dyDescent="0.25">
      <c r="A9" s="15" t="s">
        <v>184</v>
      </c>
      <c r="B9" s="16" t="str">
        <f>ORÇA!D8</f>
        <v>ADMINISTRAÇÃO LOCAL</v>
      </c>
      <c r="C9" s="150">
        <f>ORÇA!I8</f>
        <v>26779.26</v>
      </c>
      <c r="D9" s="17">
        <f>C9/$C$27</f>
        <v>3.1572546183876636E-2</v>
      </c>
      <c r="E9" s="144">
        <f>F9*$C$9</f>
        <v>4418.5779000000002</v>
      </c>
      <c r="F9" s="151">
        <v>0.16500000000000001</v>
      </c>
      <c r="G9" s="144">
        <f>H9*$C$9</f>
        <v>4418.5779000000002</v>
      </c>
      <c r="H9" s="151">
        <v>0.16500000000000001</v>
      </c>
      <c r="I9" s="144">
        <f>J9*$C$9</f>
        <v>4418.5779000000002</v>
      </c>
      <c r="J9" s="151">
        <v>0.16500000000000001</v>
      </c>
      <c r="K9" s="144">
        <f>L9*$C$9</f>
        <v>4418.5779000000002</v>
      </c>
      <c r="L9" s="151">
        <v>0.16500000000000001</v>
      </c>
      <c r="M9" s="144">
        <f>N9*$C$9</f>
        <v>4418.5779000000002</v>
      </c>
      <c r="N9" s="151">
        <v>0.16500000000000001</v>
      </c>
      <c r="O9" s="144">
        <f>P9*C9</f>
        <v>4686.3704999999991</v>
      </c>
      <c r="P9" s="155">
        <v>0.17499999999999999</v>
      </c>
      <c r="Q9" s="18">
        <f>E9+G9+I9+K9+M9+O9</f>
        <v>26779.260000000002</v>
      </c>
      <c r="R9" s="152"/>
      <c r="S9" s="19"/>
    </row>
    <row r="10" spans="1:264" ht="15" x14ac:dyDescent="0.25">
      <c r="A10" s="20"/>
      <c r="B10" s="21"/>
      <c r="C10" s="22"/>
      <c r="D10" s="2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63"/>
      <c r="P10" s="264"/>
      <c r="Q10" s="24"/>
      <c r="S10" s="19"/>
    </row>
    <row r="11" spans="1:264" ht="15" x14ac:dyDescent="0.25">
      <c r="A11" s="20" t="s">
        <v>185</v>
      </c>
      <c r="B11" s="25" t="str">
        <f>ORÇA!D14</f>
        <v>SERVIÇOS PRELIMINARES</v>
      </c>
      <c r="C11" s="26">
        <f>ORÇA!I14</f>
        <v>9695.0400000000009</v>
      </c>
      <c r="D11" s="17">
        <f>C11/$C$27</f>
        <v>1.1430379261956133E-2</v>
      </c>
      <c r="E11" s="146">
        <f>F11*$C$11</f>
        <v>4847.5200000000004</v>
      </c>
      <c r="F11" s="157">
        <v>0.5</v>
      </c>
      <c r="G11" s="146">
        <f>H11*$C$11</f>
        <v>4847.5200000000004</v>
      </c>
      <c r="H11" s="157">
        <v>0.5</v>
      </c>
      <c r="I11" s="146">
        <f>J11*$C$11</f>
        <v>0</v>
      </c>
      <c r="J11" s="147"/>
      <c r="K11" s="146">
        <f>L11*$C$11</f>
        <v>0</v>
      </c>
      <c r="L11" s="147"/>
      <c r="M11" s="146">
        <f>N11*$C$11</f>
        <v>0</v>
      </c>
      <c r="N11" s="147"/>
      <c r="O11" s="146">
        <f>P11*$C$11</f>
        <v>0</v>
      </c>
      <c r="P11" s="147"/>
      <c r="Q11" s="18">
        <f>E11+G11+I11+K11+M11+O11</f>
        <v>9695.0400000000009</v>
      </c>
      <c r="S11" s="19"/>
    </row>
    <row r="12" spans="1:264" ht="15" x14ac:dyDescent="0.25">
      <c r="A12" s="20"/>
      <c r="B12" s="21"/>
      <c r="C12" s="22"/>
      <c r="D12" s="23"/>
      <c r="E12" s="263"/>
      <c r="F12" s="264"/>
      <c r="G12" s="263"/>
      <c r="H12" s="264"/>
      <c r="I12" s="289"/>
      <c r="J12" s="290"/>
      <c r="K12" s="289"/>
      <c r="L12" s="290"/>
      <c r="M12" s="289"/>
      <c r="N12" s="290"/>
      <c r="O12" s="289"/>
      <c r="P12" s="290"/>
      <c r="Q12" s="24"/>
      <c r="S12" s="19"/>
    </row>
    <row r="13" spans="1:264" ht="15" x14ac:dyDescent="0.25">
      <c r="A13" s="20" t="s">
        <v>186</v>
      </c>
      <c r="B13" s="21" t="str">
        <f>ORÇA!D17</f>
        <v>REMOÇÃO / DEMOLIÇÃO</v>
      </c>
      <c r="C13" s="26">
        <f>ORÇA!I17</f>
        <v>19829.87</v>
      </c>
      <c r="D13" s="17">
        <f>C13/$C$27</f>
        <v>2.3379267627084161E-2</v>
      </c>
      <c r="E13" s="144">
        <f>$C$13*F13</f>
        <v>9914.9349999999995</v>
      </c>
      <c r="F13" s="151">
        <v>0.5</v>
      </c>
      <c r="G13" s="144">
        <f>$C$13*H13</f>
        <v>4957.4674999999997</v>
      </c>
      <c r="H13" s="151">
        <v>0.25</v>
      </c>
      <c r="I13" s="144">
        <f>$C$13*J13</f>
        <v>4957.4674999999997</v>
      </c>
      <c r="J13" s="151">
        <v>0.25</v>
      </c>
      <c r="K13" s="144">
        <f>$C$13*L13</f>
        <v>0</v>
      </c>
      <c r="L13" s="145"/>
      <c r="M13" s="144">
        <f>$C$13*N13</f>
        <v>0</v>
      </c>
      <c r="N13" s="145"/>
      <c r="O13" s="144">
        <f>$C$13*P13</f>
        <v>0</v>
      </c>
      <c r="P13" s="145"/>
      <c r="Q13" s="18">
        <f>E13+G13+I13+K13+M13+O13</f>
        <v>19829.87</v>
      </c>
      <c r="S13" s="19"/>
    </row>
    <row r="14" spans="1:264" ht="15" x14ac:dyDescent="0.25">
      <c r="A14" s="20"/>
      <c r="B14" s="21"/>
      <c r="C14" s="22"/>
      <c r="D14" s="23"/>
      <c r="E14" s="283"/>
      <c r="F14" s="283"/>
      <c r="G14" s="283"/>
      <c r="H14" s="283"/>
      <c r="I14" s="283"/>
      <c r="J14" s="283"/>
      <c r="K14" s="284"/>
      <c r="L14" s="284"/>
      <c r="M14" s="284"/>
      <c r="N14" s="284"/>
      <c r="O14" s="284"/>
      <c r="P14" s="284"/>
      <c r="Q14" s="24"/>
      <c r="S14" s="19"/>
    </row>
    <row r="15" spans="1:264" ht="15" x14ac:dyDescent="0.25">
      <c r="A15" s="20" t="s">
        <v>187</v>
      </c>
      <c r="B15" s="21" t="str">
        <f>ORÇA!D21</f>
        <v>PISTA DE CICLISMO</v>
      </c>
      <c r="C15" s="26">
        <f>ORÇA!I21</f>
        <v>204559.8</v>
      </c>
      <c r="D15" s="17">
        <f>C15/$C$27</f>
        <v>0.24117446609296031</v>
      </c>
      <c r="E15" s="144">
        <f>F15*$C$15</f>
        <v>30683.969999999998</v>
      </c>
      <c r="F15" s="151">
        <v>0.15</v>
      </c>
      <c r="G15" s="144">
        <f>H15*$C$15</f>
        <v>40911.96</v>
      </c>
      <c r="H15" s="151">
        <v>0.2</v>
      </c>
      <c r="I15" s="144">
        <f>J15*$C$15</f>
        <v>102279.9</v>
      </c>
      <c r="J15" s="151">
        <v>0.5</v>
      </c>
      <c r="K15" s="144">
        <f>L15*$C$15</f>
        <v>30683.969999999998</v>
      </c>
      <c r="L15" s="151">
        <v>0.15</v>
      </c>
      <c r="M15" s="144">
        <f>N15*$C$15</f>
        <v>0</v>
      </c>
      <c r="N15" s="151"/>
      <c r="O15" s="144">
        <f>P15*$C$15</f>
        <v>0</v>
      </c>
      <c r="P15" s="151"/>
      <c r="Q15" s="18">
        <f>E15+G15+I15+K15+M15+O15</f>
        <v>204559.8</v>
      </c>
      <c r="S15" s="19"/>
    </row>
    <row r="16" spans="1:264" ht="15" x14ac:dyDescent="0.25">
      <c r="A16" s="20"/>
      <c r="B16" s="21"/>
      <c r="C16" s="22"/>
      <c r="D16" s="23"/>
      <c r="E16" s="283"/>
      <c r="F16" s="283"/>
      <c r="G16" s="263"/>
      <c r="H16" s="264"/>
      <c r="I16" s="263"/>
      <c r="J16" s="264"/>
      <c r="K16" s="263"/>
      <c r="L16" s="264"/>
      <c r="M16" s="27"/>
      <c r="N16" s="148"/>
      <c r="O16" s="27"/>
      <c r="P16" s="28"/>
      <c r="Q16" s="24"/>
      <c r="S16" s="19"/>
    </row>
    <row r="17" spans="1:19" ht="15" x14ac:dyDescent="0.25">
      <c r="A17" s="20" t="s">
        <v>188</v>
      </c>
      <c r="B17" s="21" t="str">
        <f>ORÇA!D25</f>
        <v>ÁREA DE CONVIVÊNCIA</v>
      </c>
      <c r="C17" s="26">
        <f>ORÇA!I25</f>
        <v>143929.21</v>
      </c>
      <c r="D17" s="17">
        <f>C17/$C$27</f>
        <v>0.16969145637085861</v>
      </c>
      <c r="E17" s="144">
        <f>F17*$C$17</f>
        <v>0</v>
      </c>
      <c r="F17" s="145"/>
      <c r="G17" s="144">
        <f>H17*$C$17</f>
        <v>0</v>
      </c>
      <c r="H17" s="145"/>
      <c r="I17" s="144">
        <f>J17*$C$17</f>
        <v>28785.842000000001</v>
      </c>
      <c r="J17" s="145">
        <v>0.2</v>
      </c>
      <c r="K17" s="144">
        <f>L17*$C$17</f>
        <v>28785.842000000001</v>
      </c>
      <c r="L17" s="145">
        <v>0.2</v>
      </c>
      <c r="M17" s="144">
        <f>N17*$C$17</f>
        <v>71964.604999999996</v>
      </c>
      <c r="N17" s="145">
        <v>0.5</v>
      </c>
      <c r="O17" s="144">
        <f>P17*$C$17</f>
        <v>14392.921</v>
      </c>
      <c r="P17" s="145">
        <v>0.1</v>
      </c>
      <c r="Q17" s="18">
        <f>E17+G17+I17+K17+M17+O17</f>
        <v>143929.21</v>
      </c>
      <c r="S17" s="19"/>
    </row>
    <row r="18" spans="1:19" ht="15" x14ac:dyDescent="0.25">
      <c r="A18" s="20"/>
      <c r="B18" s="21"/>
      <c r="C18" s="22"/>
      <c r="D18" s="23"/>
      <c r="E18" s="284"/>
      <c r="F18" s="284"/>
      <c r="G18" s="284"/>
      <c r="H18" s="284"/>
      <c r="I18" s="284"/>
      <c r="J18" s="284"/>
      <c r="K18" s="283"/>
      <c r="L18" s="283"/>
      <c r="M18" s="283"/>
      <c r="N18" s="283"/>
      <c r="O18" s="283"/>
      <c r="P18" s="283"/>
      <c r="Q18" s="24"/>
      <c r="S18" s="19"/>
    </row>
    <row r="19" spans="1:19" ht="15" x14ac:dyDescent="0.25">
      <c r="A19" s="20" t="s">
        <v>189</v>
      </c>
      <c r="B19" s="25" t="str">
        <f>ORÇA!D34</f>
        <v>ILUMINAÇÃO PÚBLICA</v>
      </c>
      <c r="C19" s="26">
        <f>ORÇA!I34</f>
        <v>219659.36</v>
      </c>
      <c r="D19" s="17">
        <f>C19/$C$27</f>
        <v>0.25897673379775188</v>
      </c>
      <c r="E19" s="146">
        <f>F19*$C$19</f>
        <v>0</v>
      </c>
      <c r="F19" s="147"/>
      <c r="G19" s="146">
        <f>H19*$C$19</f>
        <v>0</v>
      </c>
      <c r="H19" s="147"/>
      <c r="I19" s="146">
        <f>J19*$C$19</f>
        <v>0</v>
      </c>
      <c r="J19" s="147"/>
      <c r="K19" s="146">
        <f>L19*$C$19</f>
        <v>54914.84</v>
      </c>
      <c r="L19" s="147">
        <v>0.25</v>
      </c>
      <c r="M19" s="146">
        <f>N19*$C$19</f>
        <v>109829.68</v>
      </c>
      <c r="N19" s="147">
        <v>0.5</v>
      </c>
      <c r="O19" s="146">
        <f>P19*$C$19</f>
        <v>54914.84</v>
      </c>
      <c r="P19" s="147">
        <v>0.25</v>
      </c>
      <c r="Q19" s="18">
        <f>E19+G19+I19+K19+M19+O19</f>
        <v>219659.36</v>
      </c>
      <c r="S19" s="19"/>
    </row>
    <row r="20" spans="1:19" ht="15" x14ac:dyDescent="0.25">
      <c r="A20" s="20"/>
      <c r="B20" s="25"/>
      <c r="C20" s="22"/>
      <c r="D20" s="23"/>
      <c r="E20" s="284"/>
      <c r="F20" s="284"/>
      <c r="G20" s="284"/>
      <c r="H20" s="284"/>
      <c r="I20" s="284"/>
      <c r="J20" s="284"/>
      <c r="K20" s="283"/>
      <c r="L20" s="283"/>
      <c r="M20" s="283"/>
      <c r="N20" s="283"/>
      <c r="O20" s="283"/>
      <c r="P20" s="283"/>
      <c r="Q20" s="24"/>
      <c r="S20" s="19"/>
    </row>
    <row r="21" spans="1:19" ht="15" x14ac:dyDescent="0.25">
      <c r="A21" s="20" t="s">
        <v>190</v>
      </c>
      <c r="B21" s="25" t="str">
        <f>ORÇA!D47</f>
        <v>PAISAGISMO</v>
      </c>
      <c r="C21" s="26">
        <f>ORÇA!I47</f>
        <v>52376.86</v>
      </c>
      <c r="D21" s="17">
        <f>C21/$C$27</f>
        <v>6.1751924112781346E-2</v>
      </c>
      <c r="E21" s="144">
        <f>F21*$C$21</f>
        <v>0</v>
      </c>
      <c r="F21" s="145"/>
      <c r="G21" s="144">
        <f>H21*$C$21</f>
        <v>0</v>
      </c>
      <c r="H21" s="145"/>
      <c r="I21" s="144">
        <f>J21*$C$21</f>
        <v>0</v>
      </c>
      <c r="J21" s="145"/>
      <c r="K21" s="144">
        <f>L21*$C$21</f>
        <v>5237.6860000000006</v>
      </c>
      <c r="L21" s="145">
        <v>0.1</v>
      </c>
      <c r="M21" s="144">
        <f>N21*$C$21</f>
        <v>26188.43</v>
      </c>
      <c r="N21" s="145">
        <v>0.5</v>
      </c>
      <c r="O21" s="144">
        <f>P21*$C$21</f>
        <v>20950.744000000002</v>
      </c>
      <c r="P21" s="145">
        <v>0.4</v>
      </c>
      <c r="Q21" s="18">
        <f>E21+G21+I21+K21+M21+O21</f>
        <v>52376.86</v>
      </c>
      <c r="S21" s="19"/>
    </row>
    <row r="22" spans="1:19" ht="15" x14ac:dyDescent="0.25">
      <c r="A22" s="20"/>
      <c r="B22" s="25"/>
      <c r="C22" s="22"/>
      <c r="D22" s="23"/>
      <c r="E22" s="284"/>
      <c r="F22" s="284"/>
      <c r="G22" s="284"/>
      <c r="H22" s="284"/>
      <c r="I22" s="284"/>
      <c r="J22" s="284"/>
      <c r="K22" s="283"/>
      <c r="L22" s="283"/>
      <c r="M22" s="283"/>
      <c r="N22" s="283"/>
      <c r="O22" s="283"/>
      <c r="P22" s="283"/>
      <c r="Q22" s="24"/>
      <c r="S22" s="19"/>
    </row>
    <row r="23" spans="1:19" ht="15" x14ac:dyDescent="0.25">
      <c r="A23" s="20" t="s">
        <v>191</v>
      </c>
      <c r="B23" s="25" t="str">
        <f>ORÇA!D53</f>
        <v>SINALIZAÇÃO / PINTURA</v>
      </c>
      <c r="C23" s="26">
        <f>ORÇA!I53</f>
        <v>156550.98000000001</v>
      </c>
      <c r="D23" s="17">
        <f>C23/$C$27</f>
        <v>0.18457242829641851</v>
      </c>
      <c r="E23" s="144">
        <f>F23*$C$23</f>
        <v>0</v>
      </c>
      <c r="F23" s="145"/>
      <c r="G23" s="144">
        <f>H23*$C$23</f>
        <v>0</v>
      </c>
      <c r="H23" s="145"/>
      <c r="I23" s="144">
        <f>J23*$C$23</f>
        <v>0</v>
      </c>
      <c r="J23" s="145"/>
      <c r="K23" s="144">
        <f>L23*$C$23</f>
        <v>0</v>
      </c>
      <c r="L23" s="145"/>
      <c r="M23" s="144">
        <f>N23*$C$23</f>
        <v>78275.490000000005</v>
      </c>
      <c r="N23" s="145">
        <v>0.5</v>
      </c>
      <c r="O23" s="144">
        <f>P23*$C$23</f>
        <v>78275.490000000005</v>
      </c>
      <c r="P23" s="145">
        <v>0.5</v>
      </c>
      <c r="Q23" s="18">
        <f>E23+G23+I23+K23+M23+O23</f>
        <v>156550.98000000001</v>
      </c>
      <c r="S23" s="19"/>
    </row>
    <row r="24" spans="1:19" ht="15" x14ac:dyDescent="0.25">
      <c r="A24" s="20"/>
      <c r="B24" s="25"/>
      <c r="C24" s="22"/>
      <c r="D24" s="23"/>
      <c r="E24" s="284"/>
      <c r="F24" s="284"/>
      <c r="G24" s="284"/>
      <c r="H24" s="284"/>
      <c r="I24" s="284"/>
      <c r="J24" s="284"/>
      <c r="K24" s="284"/>
      <c r="L24" s="284"/>
      <c r="M24" s="283"/>
      <c r="N24" s="283"/>
      <c r="O24" s="283"/>
      <c r="P24" s="283"/>
      <c r="Q24" s="24"/>
      <c r="S24" s="19"/>
    </row>
    <row r="25" spans="1:19" ht="15" x14ac:dyDescent="0.2">
      <c r="A25" s="20" t="s">
        <v>191</v>
      </c>
      <c r="B25" s="25" t="str">
        <f>ORÇA!D56</f>
        <v>SERVIÇOS COMPLEMENTARES</v>
      </c>
      <c r="C25" s="29">
        <f>ORÇA!I56</f>
        <v>14801.45</v>
      </c>
      <c r="D25" s="17">
        <f>C25/$C$27</f>
        <v>1.7450798256312568E-2</v>
      </c>
      <c r="E25" s="144">
        <f>F25*$C$25</f>
        <v>2590.2537499999999</v>
      </c>
      <c r="F25" s="151">
        <v>0.17499999999999999</v>
      </c>
      <c r="G25" s="144">
        <f>H25*$C$25</f>
        <v>2442.2392500000001</v>
      </c>
      <c r="H25" s="151">
        <v>0.16500000000000001</v>
      </c>
      <c r="I25" s="144">
        <f>J25*$C$25</f>
        <v>2442.2392500000001</v>
      </c>
      <c r="J25" s="151">
        <v>0.16500000000000001</v>
      </c>
      <c r="K25" s="144">
        <f>L25*$C$25</f>
        <v>2442.2392500000001</v>
      </c>
      <c r="L25" s="151">
        <v>0.16500000000000001</v>
      </c>
      <c r="M25" s="144">
        <f>N25*$C$25</f>
        <v>2442.2392500000001</v>
      </c>
      <c r="N25" s="151">
        <v>0.16500000000000001</v>
      </c>
      <c r="O25" s="144">
        <f>P25*$C$25</f>
        <v>2442.2392500000001</v>
      </c>
      <c r="P25" s="151">
        <v>0.16500000000000001</v>
      </c>
      <c r="Q25" s="18">
        <f>E25+G25+I25+K25+M25+O25</f>
        <v>14801.450000000003</v>
      </c>
      <c r="S25" s="19"/>
    </row>
    <row r="26" spans="1:19" ht="15.75" thickBot="1" x14ac:dyDescent="0.25">
      <c r="A26" s="30"/>
      <c r="B26" s="31"/>
      <c r="C26" s="32"/>
      <c r="D26" s="3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34"/>
      <c r="S26" s="19"/>
    </row>
    <row r="27" spans="1:19" ht="18.75" x14ac:dyDescent="0.3">
      <c r="A27" s="35"/>
      <c r="B27" s="36" t="s">
        <v>87</v>
      </c>
      <c r="C27" s="156">
        <f>SUM(C9:C26)</f>
        <v>848181.82999999984</v>
      </c>
      <c r="D27" s="37">
        <f>SUM(D9:D26)</f>
        <v>1</v>
      </c>
      <c r="E27" s="38">
        <f>E9+E11+E13+E15+E17+E19+E21+E23+E25</f>
        <v>52455.256649999996</v>
      </c>
      <c r="F27" s="39">
        <f>E27/$C$27</f>
        <v>6.1844353173658537E-2</v>
      </c>
      <c r="G27" s="38">
        <f>G9+G11+G13+G15+G17+G19+G21+G23+G25</f>
        <v>57577.764649999997</v>
      </c>
      <c r="H27" s="39">
        <f>G27/$C$27</f>
        <v>6.7883751588972391E-2</v>
      </c>
      <c r="I27" s="38">
        <f>I9+I11+I13+I15+I17+I19+I21+I23+I25</f>
        <v>142884.02665000001</v>
      </c>
      <c r="J27" s="39">
        <f>I27/$C$27</f>
        <v>0.16845919306005416</v>
      </c>
      <c r="K27" s="38">
        <f>K9+K11+K13+K15+K17+K19+K21+K23+K25</f>
        <v>126483.15514999999</v>
      </c>
      <c r="L27" s="39">
        <f>K27/$C$27</f>
        <v>0.1491226888814631</v>
      </c>
      <c r="M27" s="38">
        <f>M9+M11+M13+M15+M17+M19+M21+M23+M25</f>
        <v>293119.02214999998</v>
      </c>
      <c r="N27" s="39">
        <f>M27/$C$27</f>
        <v>0.34558512312153639</v>
      </c>
      <c r="O27" s="38">
        <f>O9+O11+O13+O15+O17+O19+O21+O23+O25</f>
        <v>175662.60475000003</v>
      </c>
      <c r="P27" s="39">
        <f>O27/$C$27</f>
        <v>0.20710489017431563</v>
      </c>
      <c r="Q27" s="40"/>
    </row>
    <row r="28" spans="1:19" ht="15.75" thickBot="1" x14ac:dyDescent="0.3">
      <c r="A28" s="41"/>
      <c r="B28" s="42" t="s">
        <v>88</v>
      </c>
      <c r="C28" s="43"/>
      <c r="D28" s="44"/>
      <c r="E28" s="45">
        <f>E27</f>
        <v>52455.256649999996</v>
      </c>
      <c r="F28" s="46">
        <f>E28/$C$27</f>
        <v>6.1844353173658537E-2</v>
      </c>
      <c r="G28" s="45">
        <f>E28+G27</f>
        <v>110033.02129999999</v>
      </c>
      <c r="H28" s="46">
        <f>G28/$C$27</f>
        <v>0.12972810476263091</v>
      </c>
      <c r="I28" s="45">
        <f>G28+I27</f>
        <v>252917.04795000001</v>
      </c>
      <c r="J28" s="46">
        <f>I28/$C$27</f>
        <v>0.2981872978226851</v>
      </c>
      <c r="K28" s="45">
        <f>I28+K27</f>
        <v>379400.20309999998</v>
      </c>
      <c r="L28" s="46">
        <f>K28/$C$27</f>
        <v>0.44730998670414818</v>
      </c>
      <c r="M28" s="45">
        <f>K28+M27</f>
        <v>672519.2252499999</v>
      </c>
      <c r="N28" s="46">
        <f>M28/$C$27</f>
        <v>0.79289510982568445</v>
      </c>
      <c r="O28" s="45">
        <f>M28+O27</f>
        <v>848181.83</v>
      </c>
      <c r="P28" s="46">
        <f>O28/$C$27</f>
        <v>1.0000000000000002</v>
      </c>
      <c r="Q28" s="47"/>
    </row>
    <row r="30" spans="1:19" x14ac:dyDescent="0.2">
      <c r="J30" s="149"/>
    </row>
  </sheetData>
  <mergeCells count="69">
    <mergeCell ref="O24:P24"/>
    <mergeCell ref="O26:P26"/>
    <mergeCell ref="Q4:Q5"/>
    <mergeCell ref="O20:P20"/>
    <mergeCell ref="G22:H22"/>
    <mergeCell ref="I22:J22"/>
    <mergeCell ref="K22:L22"/>
    <mergeCell ref="M22:N22"/>
    <mergeCell ref="O22:P22"/>
    <mergeCell ref="O14:P14"/>
    <mergeCell ref="O12:P12"/>
    <mergeCell ref="G18:H18"/>
    <mergeCell ref="I18:J18"/>
    <mergeCell ref="K18:L18"/>
    <mergeCell ref="M18:N18"/>
    <mergeCell ref="O18:P18"/>
    <mergeCell ref="K12:L12"/>
    <mergeCell ref="K20:L20"/>
    <mergeCell ref="K26:L26"/>
    <mergeCell ref="M6:N7"/>
    <mergeCell ref="M10:N10"/>
    <mergeCell ref="M12:N12"/>
    <mergeCell ref="M20:N20"/>
    <mergeCell ref="M26:N26"/>
    <mergeCell ref="K14:L14"/>
    <mergeCell ref="M14:N14"/>
    <mergeCell ref="K24:L24"/>
    <mergeCell ref="M24:N24"/>
    <mergeCell ref="K16:L16"/>
    <mergeCell ref="G12:H12"/>
    <mergeCell ref="G20:H20"/>
    <mergeCell ref="G26:H26"/>
    <mergeCell ref="I6:J7"/>
    <mergeCell ref="I10:J10"/>
    <mergeCell ref="I12:J12"/>
    <mergeCell ref="I20:J20"/>
    <mergeCell ref="I26:J26"/>
    <mergeCell ref="G14:H14"/>
    <mergeCell ref="I14:J14"/>
    <mergeCell ref="G24:H24"/>
    <mergeCell ref="I24:J24"/>
    <mergeCell ref="I16:J16"/>
    <mergeCell ref="G16:H16"/>
    <mergeCell ref="E12:F12"/>
    <mergeCell ref="E20:F20"/>
    <mergeCell ref="E26:F26"/>
    <mergeCell ref="A6:A8"/>
    <mergeCell ref="B6:B8"/>
    <mergeCell ref="C6:D7"/>
    <mergeCell ref="E6:F7"/>
    <mergeCell ref="E14:F14"/>
    <mergeCell ref="E16:F16"/>
    <mergeCell ref="E18:F18"/>
    <mergeCell ref="E22:F22"/>
    <mergeCell ref="E24:F24"/>
    <mergeCell ref="O10:P10"/>
    <mergeCell ref="O6:P7"/>
    <mergeCell ref="Q6:Q7"/>
    <mergeCell ref="A1:Q1"/>
    <mergeCell ref="A2:Q2"/>
    <mergeCell ref="B3:O3"/>
    <mergeCell ref="B4:O4"/>
    <mergeCell ref="P4:P5"/>
    <mergeCell ref="B5:O5"/>
    <mergeCell ref="G6:H7"/>
    <mergeCell ref="K6:L7"/>
    <mergeCell ref="E10:F10"/>
    <mergeCell ref="G10:H10"/>
    <mergeCell ref="K10:L10"/>
  </mergeCells>
  <pageMargins left="0.511811024" right="0.511811024" top="0.78740157499999996" bottom="0.78740157499999996" header="0.31496062000000002" footer="0.31496062000000002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zoomScaleNormal="100" workbookViewId="0">
      <selection activeCell="A6" sqref="A6:I6"/>
    </sheetView>
  </sheetViews>
  <sheetFormatPr defaultRowHeight="14.25" x14ac:dyDescent="0.2"/>
  <cols>
    <col min="1" max="5" width="9" style="6"/>
    <col min="6" max="6" width="8.375" style="6" bestFit="1" customWidth="1"/>
    <col min="7" max="7" width="7.625" style="6" customWidth="1"/>
    <col min="8" max="8" width="11.25" style="6" customWidth="1"/>
    <col min="9" max="9" width="12.375" style="6" customWidth="1"/>
    <col min="10" max="261" width="9" style="6"/>
    <col min="262" max="262" width="8.375" style="6" bestFit="1" customWidth="1"/>
    <col min="263" max="263" width="7.625" style="6" customWidth="1"/>
    <col min="264" max="264" width="11.25" style="6" customWidth="1"/>
    <col min="265" max="265" width="12.375" style="6" customWidth="1"/>
    <col min="266" max="517" width="9" style="6"/>
    <col min="518" max="518" width="8.375" style="6" bestFit="1" customWidth="1"/>
    <col min="519" max="519" width="7.625" style="6" customWidth="1"/>
    <col min="520" max="520" width="11.25" style="6" customWidth="1"/>
    <col min="521" max="521" width="12.375" style="6" customWidth="1"/>
    <col min="522" max="773" width="9" style="6"/>
    <col min="774" max="774" width="8.375" style="6" bestFit="1" customWidth="1"/>
    <col min="775" max="775" width="7.625" style="6" customWidth="1"/>
    <col min="776" max="776" width="11.25" style="6" customWidth="1"/>
    <col min="777" max="777" width="12.375" style="6" customWidth="1"/>
    <col min="778" max="1029" width="9" style="6"/>
    <col min="1030" max="1030" width="8.375" style="6" bestFit="1" customWidth="1"/>
    <col min="1031" max="1031" width="7.625" style="6" customWidth="1"/>
    <col min="1032" max="1032" width="11.25" style="6" customWidth="1"/>
    <col min="1033" max="1033" width="12.375" style="6" customWidth="1"/>
    <col min="1034" max="1285" width="9" style="6"/>
    <col min="1286" max="1286" width="8.375" style="6" bestFit="1" customWidth="1"/>
    <col min="1287" max="1287" width="7.625" style="6" customWidth="1"/>
    <col min="1288" max="1288" width="11.25" style="6" customWidth="1"/>
    <col min="1289" max="1289" width="12.375" style="6" customWidth="1"/>
    <col min="1290" max="1541" width="9" style="6"/>
    <col min="1542" max="1542" width="8.375" style="6" bestFit="1" customWidth="1"/>
    <col min="1543" max="1543" width="7.625" style="6" customWidth="1"/>
    <col min="1544" max="1544" width="11.25" style="6" customWidth="1"/>
    <col min="1545" max="1545" width="12.375" style="6" customWidth="1"/>
    <col min="1546" max="1797" width="9" style="6"/>
    <col min="1798" max="1798" width="8.375" style="6" bestFit="1" customWidth="1"/>
    <col min="1799" max="1799" width="7.625" style="6" customWidth="1"/>
    <col min="1800" max="1800" width="11.25" style="6" customWidth="1"/>
    <col min="1801" max="1801" width="12.375" style="6" customWidth="1"/>
    <col min="1802" max="2053" width="9" style="6"/>
    <col min="2054" max="2054" width="8.375" style="6" bestFit="1" customWidth="1"/>
    <col min="2055" max="2055" width="7.625" style="6" customWidth="1"/>
    <col min="2056" max="2056" width="11.25" style="6" customWidth="1"/>
    <col min="2057" max="2057" width="12.375" style="6" customWidth="1"/>
    <col min="2058" max="2309" width="9" style="6"/>
    <col min="2310" max="2310" width="8.375" style="6" bestFit="1" customWidth="1"/>
    <col min="2311" max="2311" width="7.625" style="6" customWidth="1"/>
    <col min="2312" max="2312" width="11.25" style="6" customWidth="1"/>
    <col min="2313" max="2313" width="12.375" style="6" customWidth="1"/>
    <col min="2314" max="2565" width="9" style="6"/>
    <col min="2566" max="2566" width="8.375" style="6" bestFit="1" customWidth="1"/>
    <col min="2567" max="2567" width="7.625" style="6" customWidth="1"/>
    <col min="2568" max="2568" width="11.25" style="6" customWidth="1"/>
    <col min="2569" max="2569" width="12.375" style="6" customWidth="1"/>
    <col min="2570" max="2821" width="9" style="6"/>
    <col min="2822" max="2822" width="8.375" style="6" bestFit="1" customWidth="1"/>
    <col min="2823" max="2823" width="7.625" style="6" customWidth="1"/>
    <col min="2824" max="2824" width="11.25" style="6" customWidth="1"/>
    <col min="2825" max="2825" width="12.375" style="6" customWidth="1"/>
    <col min="2826" max="3077" width="9" style="6"/>
    <col min="3078" max="3078" width="8.375" style="6" bestFit="1" customWidth="1"/>
    <col min="3079" max="3079" width="7.625" style="6" customWidth="1"/>
    <col min="3080" max="3080" width="11.25" style="6" customWidth="1"/>
    <col min="3081" max="3081" width="12.375" style="6" customWidth="1"/>
    <col min="3082" max="3333" width="9" style="6"/>
    <col min="3334" max="3334" width="8.375" style="6" bestFit="1" customWidth="1"/>
    <col min="3335" max="3335" width="7.625" style="6" customWidth="1"/>
    <col min="3336" max="3336" width="11.25" style="6" customWidth="1"/>
    <col min="3337" max="3337" width="12.375" style="6" customWidth="1"/>
    <col min="3338" max="3589" width="9" style="6"/>
    <col min="3590" max="3590" width="8.375" style="6" bestFit="1" customWidth="1"/>
    <col min="3591" max="3591" width="7.625" style="6" customWidth="1"/>
    <col min="3592" max="3592" width="11.25" style="6" customWidth="1"/>
    <col min="3593" max="3593" width="12.375" style="6" customWidth="1"/>
    <col min="3594" max="3845" width="9" style="6"/>
    <col min="3846" max="3846" width="8.375" style="6" bestFit="1" customWidth="1"/>
    <col min="3847" max="3847" width="7.625" style="6" customWidth="1"/>
    <col min="3848" max="3848" width="11.25" style="6" customWidth="1"/>
    <col min="3849" max="3849" width="12.375" style="6" customWidth="1"/>
    <col min="3850" max="4101" width="9" style="6"/>
    <col min="4102" max="4102" width="8.375" style="6" bestFit="1" customWidth="1"/>
    <col min="4103" max="4103" width="7.625" style="6" customWidth="1"/>
    <col min="4104" max="4104" width="11.25" style="6" customWidth="1"/>
    <col min="4105" max="4105" width="12.375" style="6" customWidth="1"/>
    <col min="4106" max="4357" width="9" style="6"/>
    <col min="4358" max="4358" width="8.375" style="6" bestFit="1" customWidth="1"/>
    <col min="4359" max="4359" width="7.625" style="6" customWidth="1"/>
    <col min="4360" max="4360" width="11.25" style="6" customWidth="1"/>
    <col min="4361" max="4361" width="12.375" style="6" customWidth="1"/>
    <col min="4362" max="4613" width="9" style="6"/>
    <col min="4614" max="4614" width="8.375" style="6" bestFit="1" customWidth="1"/>
    <col min="4615" max="4615" width="7.625" style="6" customWidth="1"/>
    <col min="4616" max="4616" width="11.25" style="6" customWidth="1"/>
    <col min="4617" max="4617" width="12.375" style="6" customWidth="1"/>
    <col min="4618" max="4869" width="9" style="6"/>
    <col min="4870" max="4870" width="8.375" style="6" bestFit="1" customWidth="1"/>
    <col min="4871" max="4871" width="7.625" style="6" customWidth="1"/>
    <col min="4872" max="4872" width="11.25" style="6" customWidth="1"/>
    <col min="4873" max="4873" width="12.375" style="6" customWidth="1"/>
    <col min="4874" max="5125" width="9" style="6"/>
    <col min="5126" max="5126" width="8.375" style="6" bestFit="1" customWidth="1"/>
    <col min="5127" max="5127" width="7.625" style="6" customWidth="1"/>
    <col min="5128" max="5128" width="11.25" style="6" customWidth="1"/>
    <col min="5129" max="5129" width="12.375" style="6" customWidth="1"/>
    <col min="5130" max="5381" width="9" style="6"/>
    <col min="5382" max="5382" width="8.375" style="6" bestFit="1" customWidth="1"/>
    <col min="5383" max="5383" width="7.625" style="6" customWidth="1"/>
    <col min="5384" max="5384" width="11.25" style="6" customWidth="1"/>
    <col min="5385" max="5385" width="12.375" style="6" customWidth="1"/>
    <col min="5386" max="5637" width="9" style="6"/>
    <col min="5638" max="5638" width="8.375" style="6" bestFit="1" customWidth="1"/>
    <col min="5639" max="5639" width="7.625" style="6" customWidth="1"/>
    <col min="5640" max="5640" width="11.25" style="6" customWidth="1"/>
    <col min="5641" max="5641" width="12.375" style="6" customWidth="1"/>
    <col min="5642" max="5893" width="9" style="6"/>
    <col min="5894" max="5894" width="8.375" style="6" bestFit="1" customWidth="1"/>
    <col min="5895" max="5895" width="7.625" style="6" customWidth="1"/>
    <col min="5896" max="5896" width="11.25" style="6" customWidth="1"/>
    <col min="5897" max="5897" width="12.375" style="6" customWidth="1"/>
    <col min="5898" max="6149" width="9" style="6"/>
    <col min="6150" max="6150" width="8.375" style="6" bestFit="1" customWidth="1"/>
    <col min="6151" max="6151" width="7.625" style="6" customWidth="1"/>
    <col min="6152" max="6152" width="11.25" style="6" customWidth="1"/>
    <col min="6153" max="6153" width="12.375" style="6" customWidth="1"/>
    <col min="6154" max="6405" width="9" style="6"/>
    <col min="6406" max="6406" width="8.375" style="6" bestFit="1" customWidth="1"/>
    <col min="6407" max="6407" width="7.625" style="6" customWidth="1"/>
    <col min="6408" max="6408" width="11.25" style="6" customWidth="1"/>
    <col min="6409" max="6409" width="12.375" style="6" customWidth="1"/>
    <col min="6410" max="6661" width="9" style="6"/>
    <col min="6662" max="6662" width="8.375" style="6" bestFit="1" customWidth="1"/>
    <col min="6663" max="6663" width="7.625" style="6" customWidth="1"/>
    <col min="6664" max="6664" width="11.25" style="6" customWidth="1"/>
    <col min="6665" max="6665" width="12.375" style="6" customWidth="1"/>
    <col min="6666" max="6917" width="9" style="6"/>
    <col min="6918" max="6918" width="8.375" style="6" bestFit="1" customWidth="1"/>
    <col min="6919" max="6919" width="7.625" style="6" customWidth="1"/>
    <col min="6920" max="6920" width="11.25" style="6" customWidth="1"/>
    <col min="6921" max="6921" width="12.375" style="6" customWidth="1"/>
    <col min="6922" max="7173" width="9" style="6"/>
    <col min="7174" max="7174" width="8.375" style="6" bestFit="1" customWidth="1"/>
    <col min="7175" max="7175" width="7.625" style="6" customWidth="1"/>
    <col min="7176" max="7176" width="11.25" style="6" customWidth="1"/>
    <col min="7177" max="7177" width="12.375" style="6" customWidth="1"/>
    <col min="7178" max="7429" width="9" style="6"/>
    <col min="7430" max="7430" width="8.375" style="6" bestFit="1" customWidth="1"/>
    <col min="7431" max="7431" width="7.625" style="6" customWidth="1"/>
    <col min="7432" max="7432" width="11.25" style="6" customWidth="1"/>
    <col min="7433" max="7433" width="12.375" style="6" customWidth="1"/>
    <col min="7434" max="7685" width="9" style="6"/>
    <col min="7686" max="7686" width="8.375" style="6" bestFit="1" customWidth="1"/>
    <col min="7687" max="7687" width="7.625" style="6" customWidth="1"/>
    <col min="7688" max="7688" width="11.25" style="6" customWidth="1"/>
    <col min="7689" max="7689" width="12.375" style="6" customWidth="1"/>
    <col min="7690" max="7941" width="9" style="6"/>
    <col min="7942" max="7942" width="8.375" style="6" bestFit="1" customWidth="1"/>
    <col min="7943" max="7943" width="7.625" style="6" customWidth="1"/>
    <col min="7944" max="7944" width="11.25" style="6" customWidth="1"/>
    <col min="7945" max="7945" width="12.375" style="6" customWidth="1"/>
    <col min="7946" max="8197" width="9" style="6"/>
    <col min="8198" max="8198" width="8.375" style="6" bestFit="1" customWidth="1"/>
    <col min="8199" max="8199" width="7.625" style="6" customWidth="1"/>
    <col min="8200" max="8200" width="11.25" style="6" customWidth="1"/>
    <col min="8201" max="8201" width="12.375" style="6" customWidth="1"/>
    <col min="8202" max="8453" width="9" style="6"/>
    <col min="8454" max="8454" width="8.375" style="6" bestFit="1" customWidth="1"/>
    <col min="8455" max="8455" width="7.625" style="6" customWidth="1"/>
    <col min="8456" max="8456" width="11.25" style="6" customWidth="1"/>
    <col min="8457" max="8457" width="12.375" style="6" customWidth="1"/>
    <col min="8458" max="8709" width="9" style="6"/>
    <col min="8710" max="8710" width="8.375" style="6" bestFit="1" customWidth="1"/>
    <col min="8711" max="8711" width="7.625" style="6" customWidth="1"/>
    <col min="8712" max="8712" width="11.25" style="6" customWidth="1"/>
    <col min="8713" max="8713" width="12.375" style="6" customWidth="1"/>
    <col min="8714" max="8965" width="9" style="6"/>
    <col min="8966" max="8966" width="8.375" style="6" bestFit="1" customWidth="1"/>
    <col min="8967" max="8967" width="7.625" style="6" customWidth="1"/>
    <col min="8968" max="8968" width="11.25" style="6" customWidth="1"/>
    <col min="8969" max="8969" width="12.375" style="6" customWidth="1"/>
    <col min="8970" max="9221" width="9" style="6"/>
    <col min="9222" max="9222" width="8.375" style="6" bestFit="1" customWidth="1"/>
    <col min="9223" max="9223" width="7.625" style="6" customWidth="1"/>
    <col min="9224" max="9224" width="11.25" style="6" customWidth="1"/>
    <col min="9225" max="9225" width="12.375" style="6" customWidth="1"/>
    <col min="9226" max="9477" width="9" style="6"/>
    <col min="9478" max="9478" width="8.375" style="6" bestFit="1" customWidth="1"/>
    <col min="9479" max="9479" width="7.625" style="6" customWidth="1"/>
    <col min="9480" max="9480" width="11.25" style="6" customWidth="1"/>
    <col min="9481" max="9481" width="12.375" style="6" customWidth="1"/>
    <col min="9482" max="9733" width="9" style="6"/>
    <col min="9734" max="9734" width="8.375" style="6" bestFit="1" customWidth="1"/>
    <col min="9735" max="9735" width="7.625" style="6" customWidth="1"/>
    <col min="9736" max="9736" width="11.25" style="6" customWidth="1"/>
    <col min="9737" max="9737" width="12.375" style="6" customWidth="1"/>
    <col min="9738" max="9989" width="9" style="6"/>
    <col min="9990" max="9990" width="8.375" style="6" bestFit="1" customWidth="1"/>
    <col min="9991" max="9991" width="7.625" style="6" customWidth="1"/>
    <col min="9992" max="9992" width="11.25" style="6" customWidth="1"/>
    <col min="9993" max="9993" width="12.375" style="6" customWidth="1"/>
    <col min="9994" max="10245" width="9" style="6"/>
    <col min="10246" max="10246" width="8.375" style="6" bestFit="1" customWidth="1"/>
    <col min="10247" max="10247" width="7.625" style="6" customWidth="1"/>
    <col min="10248" max="10248" width="11.25" style="6" customWidth="1"/>
    <col min="10249" max="10249" width="12.375" style="6" customWidth="1"/>
    <col min="10250" max="10501" width="9" style="6"/>
    <col min="10502" max="10502" width="8.375" style="6" bestFit="1" customWidth="1"/>
    <col min="10503" max="10503" width="7.625" style="6" customWidth="1"/>
    <col min="10504" max="10504" width="11.25" style="6" customWidth="1"/>
    <col min="10505" max="10505" width="12.375" style="6" customWidth="1"/>
    <col min="10506" max="10757" width="9" style="6"/>
    <col min="10758" max="10758" width="8.375" style="6" bestFit="1" customWidth="1"/>
    <col min="10759" max="10759" width="7.625" style="6" customWidth="1"/>
    <col min="10760" max="10760" width="11.25" style="6" customWidth="1"/>
    <col min="10761" max="10761" width="12.375" style="6" customWidth="1"/>
    <col min="10762" max="11013" width="9" style="6"/>
    <col min="11014" max="11014" width="8.375" style="6" bestFit="1" customWidth="1"/>
    <col min="11015" max="11015" width="7.625" style="6" customWidth="1"/>
    <col min="11016" max="11016" width="11.25" style="6" customWidth="1"/>
    <col min="11017" max="11017" width="12.375" style="6" customWidth="1"/>
    <col min="11018" max="11269" width="9" style="6"/>
    <col min="11270" max="11270" width="8.375" style="6" bestFit="1" customWidth="1"/>
    <col min="11271" max="11271" width="7.625" style="6" customWidth="1"/>
    <col min="11272" max="11272" width="11.25" style="6" customWidth="1"/>
    <col min="11273" max="11273" width="12.375" style="6" customWidth="1"/>
    <col min="11274" max="11525" width="9" style="6"/>
    <col min="11526" max="11526" width="8.375" style="6" bestFit="1" customWidth="1"/>
    <col min="11527" max="11527" width="7.625" style="6" customWidth="1"/>
    <col min="11528" max="11528" width="11.25" style="6" customWidth="1"/>
    <col min="11529" max="11529" width="12.375" style="6" customWidth="1"/>
    <col min="11530" max="11781" width="9" style="6"/>
    <col min="11782" max="11782" width="8.375" style="6" bestFit="1" customWidth="1"/>
    <col min="11783" max="11783" width="7.625" style="6" customWidth="1"/>
    <col min="11784" max="11784" width="11.25" style="6" customWidth="1"/>
    <col min="11785" max="11785" width="12.375" style="6" customWidth="1"/>
    <col min="11786" max="12037" width="9" style="6"/>
    <col min="12038" max="12038" width="8.375" style="6" bestFit="1" customWidth="1"/>
    <col min="12039" max="12039" width="7.625" style="6" customWidth="1"/>
    <col min="12040" max="12040" width="11.25" style="6" customWidth="1"/>
    <col min="12041" max="12041" width="12.375" style="6" customWidth="1"/>
    <col min="12042" max="12293" width="9" style="6"/>
    <col min="12294" max="12294" width="8.375" style="6" bestFit="1" customWidth="1"/>
    <col min="12295" max="12295" width="7.625" style="6" customWidth="1"/>
    <col min="12296" max="12296" width="11.25" style="6" customWidth="1"/>
    <col min="12297" max="12297" width="12.375" style="6" customWidth="1"/>
    <col min="12298" max="12549" width="9" style="6"/>
    <col min="12550" max="12550" width="8.375" style="6" bestFit="1" customWidth="1"/>
    <col min="12551" max="12551" width="7.625" style="6" customWidth="1"/>
    <col min="12552" max="12552" width="11.25" style="6" customWidth="1"/>
    <col min="12553" max="12553" width="12.375" style="6" customWidth="1"/>
    <col min="12554" max="12805" width="9" style="6"/>
    <col min="12806" max="12806" width="8.375" style="6" bestFit="1" customWidth="1"/>
    <col min="12807" max="12807" width="7.625" style="6" customWidth="1"/>
    <col min="12808" max="12808" width="11.25" style="6" customWidth="1"/>
    <col min="12809" max="12809" width="12.375" style="6" customWidth="1"/>
    <col min="12810" max="13061" width="9" style="6"/>
    <col min="13062" max="13062" width="8.375" style="6" bestFit="1" customWidth="1"/>
    <col min="13063" max="13063" width="7.625" style="6" customWidth="1"/>
    <col min="13064" max="13064" width="11.25" style="6" customWidth="1"/>
    <col min="13065" max="13065" width="12.375" style="6" customWidth="1"/>
    <col min="13066" max="13317" width="9" style="6"/>
    <col min="13318" max="13318" width="8.375" style="6" bestFit="1" customWidth="1"/>
    <col min="13319" max="13319" width="7.625" style="6" customWidth="1"/>
    <col min="13320" max="13320" width="11.25" style="6" customWidth="1"/>
    <col min="13321" max="13321" width="12.375" style="6" customWidth="1"/>
    <col min="13322" max="13573" width="9" style="6"/>
    <col min="13574" max="13574" width="8.375" style="6" bestFit="1" customWidth="1"/>
    <col min="13575" max="13575" width="7.625" style="6" customWidth="1"/>
    <col min="13576" max="13576" width="11.25" style="6" customWidth="1"/>
    <col min="13577" max="13577" width="12.375" style="6" customWidth="1"/>
    <col min="13578" max="13829" width="9" style="6"/>
    <col min="13830" max="13830" width="8.375" style="6" bestFit="1" customWidth="1"/>
    <col min="13831" max="13831" width="7.625" style="6" customWidth="1"/>
    <col min="13832" max="13832" width="11.25" style="6" customWidth="1"/>
    <col min="13833" max="13833" width="12.375" style="6" customWidth="1"/>
    <col min="13834" max="14085" width="9" style="6"/>
    <col min="14086" max="14086" width="8.375" style="6" bestFit="1" customWidth="1"/>
    <col min="14087" max="14087" width="7.625" style="6" customWidth="1"/>
    <col min="14088" max="14088" width="11.25" style="6" customWidth="1"/>
    <col min="14089" max="14089" width="12.375" style="6" customWidth="1"/>
    <col min="14090" max="14341" width="9" style="6"/>
    <col min="14342" max="14342" width="8.375" style="6" bestFit="1" customWidth="1"/>
    <col min="14343" max="14343" width="7.625" style="6" customWidth="1"/>
    <col min="14344" max="14344" width="11.25" style="6" customWidth="1"/>
    <col min="14345" max="14345" width="12.375" style="6" customWidth="1"/>
    <col min="14346" max="14597" width="9" style="6"/>
    <col min="14598" max="14598" width="8.375" style="6" bestFit="1" customWidth="1"/>
    <col min="14599" max="14599" width="7.625" style="6" customWidth="1"/>
    <col min="14600" max="14600" width="11.25" style="6" customWidth="1"/>
    <col min="14601" max="14601" width="12.375" style="6" customWidth="1"/>
    <col min="14602" max="14853" width="9" style="6"/>
    <col min="14854" max="14854" width="8.375" style="6" bestFit="1" customWidth="1"/>
    <col min="14855" max="14855" width="7.625" style="6" customWidth="1"/>
    <col min="14856" max="14856" width="11.25" style="6" customWidth="1"/>
    <col min="14857" max="14857" width="12.375" style="6" customWidth="1"/>
    <col min="14858" max="15109" width="9" style="6"/>
    <col min="15110" max="15110" width="8.375" style="6" bestFit="1" customWidth="1"/>
    <col min="15111" max="15111" width="7.625" style="6" customWidth="1"/>
    <col min="15112" max="15112" width="11.25" style="6" customWidth="1"/>
    <col min="15113" max="15113" width="12.375" style="6" customWidth="1"/>
    <col min="15114" max="15365" width="9" style="6"/>
    <col min="15366" max="15366" width="8.375" style="6" bestFit="1" customWidth="1"/>
    <col min="15367" max="15367" width="7.625" style="6" customWidth="1"/>
    <col min="15368" max="15368" width="11.25" style="6" customWidth="1"/>
    <col min="15369" max="15369" width="12.375" style="6" customWidth="1"/>
    <col min="15370" max="15621" width="9" style="6"/>
    <col min="15622" max="15622" width="8.375" style="6" bestFit="1" customWidth="1"/>
    <col min="15623" max="15623" width="7.625" style="6" customWidth="1"/>
    <col min="15624" max="15624" width="11.25" style="6" customWidth="1"/>
    <col min="15625" max="15625" width="12.375" style="6" customWidth="1"/>
    <col min="15626" max="15877" width="9" style="6"/>
    <col min="15878" max="15878" width="8.375" style="6" bestFit="1" customWidth="1"/>
    <col min="15879" max="15879" width="7.625" style="6" customWidth="1"/>
    <col min="15880" max="15880" width="11.25" style="6" customWidth="1"/>
    <col min="15881" max="15881" width="12.375" style="6" customWidth="1"/>
    <col min="15882" max="16133" width="9" style="6"/>
    <col min="16134" max="16134" width="8.375" style="6" bestFit="1" customWidth="1"/>
    <col min="16135" max="16135" width="7.625" style="6" customWidth="1"/>
    <col min="16136" max="16136" width="11.25" style="6" customWidth="1"/>
    <col min="16137" max="16137" width="12.375" style="6" customWidth="1"/>
    <col min="16138" max="16384" width="9" style="6"/>
  </cols>
  <sheetData>
    <row r="1" spans="1:9" ht="85.5" customHeight="1" x14ac:dyDescent="0.3">
      <c r="A1" s="294" t="s">
        <v>117</v>
      </c>
      <c r="B1" s="295"/>
      <c r="C1" s="295"/>
      <c r="D1" s="295"/>
      <c r="E1" s="295"/>
      <c r="F1" s="295"/>
      <c r="G1" s="295"/>
      <c r="H1" s="295"/>
      <c r="I1" s="296"/>
    </row>
    <row r="2" spans="1:9" ht="18.75" x14ac:dyDescent="0.2">
      <c r="A2" s="297" t="s">
        <v>111</v>
      </c>
      <c r="B2" s="298"/>
      <c r="C2" s="298"/>
      <c r="D2" s="298"/>
      <c r="E2" s="298"/>
      <c r="F2" s="298"/>
      <c r="G2" s="298"/>
      <c r="H2" s="298"/>
      <c r="I2" s="299"/>
    </row>
    <row r="3" spans="1:9" ht="15" x14ac:dyDescent="0.25">
      <c r="A3" s="55" t="s">
        <v>75</v>
      </c>
      <c r="B3" s="300" t="str">
        <f>ORÇA!B2</f>
        <v>INFRAESTRUTURA URBANA - REFORMA E REVITALIZAÇÃO DE CANTEIRO CENTRAL</v>
      </c>
      <c r="C3" s="300"/>
      <c r="D3" s="300"/>
      <c r="E3" s="300"/>
      <c r="F3" s="300"/>
      <c r="G3" s="300"/>
      <c r="H3" s="300"/>
      <c r="I3" s="56" t="s">
        <v>76</v>
      </c>
    </row>
    <row r="4" spans="1:9" ht="15" x14ac:dyDescent="0.25">
      <c r="A4" s="55" t="s">
        <v>78</v>
      </c>
      <c r="B4" s="300" t="str">
        <f>ORÇA!B3</f>
        <v>RUA AQUIDABAN - SIDROLÂNDIA/MS</v>
      </c>
      <c r="C4" s="300"/>
      <c r="D4" s="300"/>
      <c r="E4" s="300"/>
      <c r="F4" s="300"/>
      <c r="G4" s="300"/>
      <c r="H4" s="300"/>
      <c r="I4" s="301">
        <f>I22</f>
        <v>0.28347674918197008</v>
      </c>
    </row>
    <row r="5" spans="1:9" ht="15" x14ac:dyDescent="0.25">
      <c r="A5" s="55" t="s">
        <v>214</v>
      </c>
      <c r="B5" s="300" t="s">
        <v>260</v>
      </c>
      <c r="C5" s="300"/>
      <c r="D5" s="300"/>
      <c r="E5" s="300"/>
      <c r="F5" s="300"/>
      <c r="G5" s="300"/>
      <c r="H5" s="300"/>
      <c r="I5" s="302"/>
    </row>
    <row r="6" spans="1:9" ht="15" x14ac:dyDescent="0.2">
      <c r="A6" s="303"/>
      <c r="B6" s="304"/>
      <c r="C6" s="304"/>
      <c r="D6" s="304"/>
      <c r="E6" s="304"/>
      <c r="F6" s="304"/>
      <c r="G6" s="304"/>
      <c r="H6" s="304"/>
      <c r="I6" s="305"/>
    </row>
    <row r="7" spans="1:9" ht="15" x14ac:dyDescent="0.2">
      <c r="A7" s="57"/>
      <c r="B7" s="306" t="s">
        <v>89</v>
      </c>
      <c r="C7" s="306"/>
      <c r="D7" s="306"/>
      <c r="E7" s="306"/>
      <c r="F7" s="306"/>
      <c r="G7" s="306"/>
      <c r="H7" s="306"/>
      <c r="I7" s="307"/>
    </row>
    <row r="8" spans="1:9" x14ac:dyDescent="0.2">
      <c r="A8" s="58">
        <v>1</v>
      </c>
      <c r="B8" s="293" t="s">
        <v>90</v>
      </c>
      <c r="C8" s="293"/>
      <c r="D8" s="293"/>
      <c r="E8" s="293"/>
      <c r="F8" s="293"/>
      <c r="G8" s="293"/>
      <c r="H8" s="293"/>
      <c r="I8" s="51">
        <v>0.04</v>
      </c>
    </row>
    <row r="9" spans="1:9" x14ac:dyDescent="0.2">
      <c r="A9" s="58">
        <v>2</v>
      </c>
      <c r="B9" s="293" t="s">
        <v>91</v>
      </c>
      <c r="C9" s="293"/>
      <c r="D9" s="293"/>
      <c r="E9" s="293"/>
      <c r="F9" s="293"/>
      <c r="G9" s="293"/>
      <c r="H9" s="293"/>
      <c r="I9" s="51">
        <v>8.0000000000000002E-3</v>
      </c>
    </row>
    <row r="10" spans="1:9" x14ac:dyDescent="0.2">
      <c r="A10" s="58">
        <v>3</v>
      </c>
      <c r="B10" s="293" t="s">
        <v>92</v>
      </c>
      <c r="C10" s="293"/>
      <c r="D10" s="293"/>
      <c r="E10" s="293"/>
      <c r="F10" s="293"/>
      <c r="G10" s="293"/>
      <c r="H10" s="293"/>
      <c r="I10" s="52">
        <v>1.2699999999999999E-2</v>
      </c>
    </row>
    <row r="11" spans="1:9" x14ac:dyDescent="0.2">
      <c r="A11" s="58">
        <v>4</v>
      </c>
      <c r="B11" s="293" t="s">
        <v>93</v>
      </c>
      <c r="C11" s="293"/>
      <c r="D11" s="293"/>
      <c r="E11" s="293"/>
      <c r="F11" s="293"/>
      <c r="G11" s="293"/>
      <c r="H11" s="293"/>
      <c r="I11" s="51">
        <v>1.23E-2</v>
      </c>
    </row>
    <row r="12" spans="1:9" x14ac:dyDescent="0.2">
      <c r="A12" s="58">
        <v>5</v>
      </c>
      <c r="B12" s="293" t="s">
        <v>94</v>
      </c>
      <c r="C12" s="293"/>
      <c r="D12" s="293"/>
      <c r="E12" s="293"/>
      <c r="F12" s="293"/>
      <c r="G12" s="293"/>
      <c r="H12" s="293"/>
      <c r="I12" s="51">
        <v>7.3999999999999996E-2</v>
      </c>
    </row>
    <row r="13" spans="1:9" x14ac:dyDescent="0.2">
      <c r="A13" s="58">
        <v>6</v>
      </c>
      <c r="B13" s="293" t="s">
        <v>95</v>
      </c>
      <c r="C13" s="293"/>
      <c r="D13" s="293"/>
      <c r="E13" s="293"/>
      <c r="F13" s="293"/>
      <c r="G13" s="293"/>
      <c r="H13" s="293"/>
      <c r="I13" s="51">
        <f>I20</f>
        <v>0.10149999999999999</v>
      </c>
    </row>
    <row r="14" spans="1:9" x14ac:dyDescent="0.2">
      <c r="A14" s="58"/>
      <c r="B14" s="315"/>
      <c r="C14" s="315"/>
      <c r="D14" s="315"/>
      <c r="E14" s="315"/>
      <c r="F14" s="315"/>
      <c r="G14" s="315"/>
      <c r="H14" s="315"/>
      <c r="I14" s="59"/>
    </row>
    <row r="15" spans="1:9" ht="15" x14ac:dyDescent="0.2">
      <c r="A15" s="60" t="s">
        <v>0</v>
      </c>
      <c r="B15" s="306" t="s">
        <v>96</v>
      </c>
      <c r="C15" s="306"/>
      <c r="D15" s="306"/>
      <c r="E15" s="306"/>
      <c r="F15" s="306"/>
      <c r="G15" s="306"/>
      <c r="H15" s="306"/>
      <c r="I15" s="307"/>
    </row>
    <row r="16" spans="1:9" x14ac:dyDescent="0.2">
      <c r="A16" s="58" t="s">
        <v>97</v>
      </c>
      <c r="B16" s="293" t="s">
        <v>98</v>
      </c>
      <c r="C16" s="293"/>
      <c r="D16" s="293"/>
      <c r="E16" s="293"/>
      <c r="F16" s="293"/>
      <c r="G16" s="293"/>
      <c r="H16" s="293"/>
      <c r="I16" s="53">
        <v>0.02</v>
      </c>
    </row>
    <row r="17" spans="1:9" x14ac:dyDescent="0.2">
      <c r="A17" s="58" t="s">
        <v>99</v>
      </c>
      <c r="B17" s="293" t="s">
        <v>100</v>
      </c>
      <c r="C17" s="293"/>
      <c r="D17" s="293"/>
      <c r="E17" s="293"/>
      <c r="F17" s="293"/>
      <c r="G17" s="293"/>
      <c r="H17" s="293"/>
      <c r="I17" s="51">
        <v>6.4999999999999997E-3</v>
      </c>
    </row>
    <row r="18" spans="1:9" x14ac:dyDescent="0.2">
      <c r="A18" s="58" t="s">
        <v>101</v>
      </c>
      <c r="B18" s="293" t="s">
        <v>102</v>
      </c>
      <c r="C18" s="293"/>
      <c r="D18" s="293"/>
      <c r="E18" s="293"/>
      <c r="F18" s="293"/>
      <c r="G18" s="293"/>
      <c r="H18" s="293"/>
      <c r="I18" s="51">
        <v>0.03</v>
      </c>
    </row>
    <row r="19" spans="1:9" x14ac:dyDescent="0.2">
      <c r="A19" s="58" t="s">
        <v>103</v>
      </c>
      <c r="B19" s="293" t="s">
        <v>112</v>
      </c>
      <c r="C19" s="293"/>
      <c r="D19" s="293"/>
      <c r="E19" s="293"/>
      <c r="F19" s="293"/>
      <c r="G19" s="293"/>
      <c r="H19" s="293"/>
      <c r="I19" s="51">
        <v>4.4999999999999998E-2</v>
      </c>
    </row>
    <row r="20" spans="1:9" x14ac:dyDescent="0.2">
      <c r="A20" s="316" t="s">
        <v>104</v>
      </c>
      <c r="B20" s="317"/>
      <c r="C20" s="317"/>
      <c r="D20" s="317"/>
      <c r="E20" s="317"/>
      <c r="F20" s="317"/>
      <c r="G20" s="317"/>
      <c r="H20" s="317"/>
      <c r="I20" s="54">
        <f>SUM(I16:I19)</f>
        <v>0.10149999999999999</v>
      </c>
    </row>
    <row r="21" spans="1:9" x14ac:dyDescent="0.2">
      <c r="A21" s="316" t="s">
        <v>105</v>
      </c>
      <c r="B21" s="317"/>
      <c r="C21" s="317"/>
      <c r="D21" s="317"/>
      <c r="E21" s="317"/>
      <c r="F21" s="317"/>
      <c r="G21" s="317"/>
      <c r="H21" s="317"/>
      <c r="I21" s="318"/>
    </row>
    <row r="22" spans="1:9" x14ac:dyDescent="0.2">
      <c r="A22" s="319"/>
      <c r="B22" s="315"/>
      <c r="C22" s="315"/>
      <c r="D22" s="315"/>
      <c r="E22" s="315"/>
      <c r="F22" s="315"/>
      <c r="G22" s="315"/>
      <c r="H22" s="315"/>
      <c r="I22" s="61">
        <f>(((1+I8+I9+I10)*(1+I11)*(1+I12))/(1-I13))-1</f>
        <v>0.28347674918197008</v>
      </c>
    </row>
    <row r="23" spans="1:9" x14ac:dyDescent="0.2">
      <c r="A23" s="308" t="s">
        <v>106</v>
      </c>
      <c r="B23" s="309"/>
      <c r="C23" s="310"/>
      <c r="D23" s="310"/>
      <c r="E23" s="310"/>
      <c r="F23" s="310"/>
      <c r="G23" s="310"/>
      <c r="H23" s="310"/>
      <c r="I23" s="311"/>
    </row>
    <row r="24" spans="1:9" x14ac:dyDescent="0.2">
      <c r="A24" s="308"/>
      <c r="B24" s="312"/>
      <c r="C24" s="313"/>
      <c r="D24" s="313"/>
      <c r="E24" s="313"/>
      <c r="F24" s="313"/>
      <c r="G24" s="313"/>
      <c r="H24" s="313"/>
      <c r="I24" s="314"/>
    </row>
    <row r="25" spans="1:9" x14ac:dyDescent="0.2">
      <c r="A25" s="308"/>
      <c r="B25" s="312"/>
      <c r="C25" s="313"/>
      <c r="D25" s="313"/>
      <c r="E25" s="313"/>
      <c r="F25" s="313"/>
      <c r="G25" s="313"/>
      <c r="H25" s="313"/>
      <c r="I25" s="314"/>
    </row>
    <row r="26" spans="1:9" x14ac:dyDescent="0.2">
      <c r="A26" s="308"/>
      <c r="B26" s="312"/>
      <c r="C26" s="313"/>
      <c r="D26" s="313"/>
      <c r="E26" s="313"/>
      <c r="F26" s="313"/>
      <c r="G26" s="313"/>
      <c r="H26" s="313"/>
      <c r="I26" s="314"/>
    </row>
    <row r="27" spans="1:9" x14ac:dyDescent="0.2">
      <c r="A27" s="308"/>
      <c r="B27" s="312"/>
      <c r="C27" s="313"/>
      <c r="D27" s="313"/>
      <c r="E27" s="313"/>
      <c r="F27" s="313"/>
      <c r="G27" s="313"/>
      <c r="H27" s="313"/>
      <c r="I27" s="314"/>
    </row>
    <row r="28" spans="1:9" x14ac:dyDescent="0.2">
      <c r="A28" s="62" t="s">
        <v>107</v>
      </c>
      <c r="B28" s="335"/>
      <c r="C28" s="336"/>
      <c r="D28" s="336"/>
      <c r="E28" s="336"/>
      <c r="F28" s="336"/>
      <c r="G28" s="336"/>
      <c r="H28" s="336"/>
      <c r="I28" s="337"/>
    </row>
    <row r="29" spans="1:9" ht="23.25" customHeight="1" x14ac:dyDescent="0.2">
      <c r="A29" s="338" t="s">
        <v>113</v>
      </c>
      <c r="B29" s="339"/>
      <c r="C29" s="339"/>
      <c r="D29" s="339"/>
      <c r="E29" s="339"/>
      <c r="F29" s="339"/>
      <c r="G29" s="339"/>
      <c r="H29" s="339"/>
      <c r="I29" s="340"/>
    </row>
    <row r="30" spans="1:9" ht="23.25" customHeight="1" x14ac:dyDescent="0.2">
      <c r="A30" s="341" t="s">
        <v>114</v>
      </c>
      <c r="B30" s="342"/>
      <c r="C30" s="342"/>
      <c r="D30" s="342"/>
      <c r="E30" s="342"/>
      <c r="F30" s="342"/>
      <c r="G30" s="342"/>
      <c r="H30" s="342"/>
      <c r="I30" s="343"/>
    </row>
    <row r="31" spans="1:9" ht="23.25" customHeight="1" x14ac:dyDescent="0.2">
      <c r="A31" s="341" t="s">
        <v>108</v>
      </c>
      <c r="B31" s="342"/>
      <c r="C31" s="342"/>
      <c r="D31" s="342"/>
      <c r="E31" s="342"/>
      <c r="F31" s="342"/>
      <c r="G31" s="342"/>
      <c r="H31" s="342"/>
      <c r="I31" s="343"/>
    </row>
    <row r="32" spans="1:9" ht="23.25" customHeight="1" x14ac:dyDescent="0.2">
      <c r="A32" s="341" t="s">
        <v>109</v>
      </c>
      <c r="B32" s="342"/>
      <c r="C32" s="342"/>
      <c r="D32" s="342"/>
      <c r="E32" s="342"/>
      <c r="F32" s="342"/>
      <c r="G32" s="342"/>
      <c r="H32" s="342"/>
      <c r="I32" s="343"/>
    </row>
    <row r="33" spans="1:11" ht="13.5" customHeight="1" x14ac:dyDescent="0.2">
      <c r="A33" s="332"/>
      <c r="B33" s="333"/>
      <c r="C33" s="333"/>
      <c r="D33" s="333"/>
      <c r="E33" s="333"/>
      <c r="F33" s="333"/>
      <c r="G33" s="333"/>
      <c r="H33" s="333"/>
      <c r="I33" s="334"/>
    </row>
    <row r="34" spans="1:11" x14ac:dyDescent="0.2">
      <c r="A34" s="320" t="s">
        <v>110</v>
      </c>
      <c r="B34" s="321"/>
      <c r="C34" s="321"/>
      <c r="D34" s="321"/>
      <c r="E34" s="321"/>
      <c r="F34" s="321"/>
      <c r="G34" s="321"/>
      <c r="H34" s="321"/>
      <c r="I34" s="322"/>
    </row>
    <row r="35" spans="1:11" x14ac:dyDescent="0.2">
      <c r="A35" s="63"/>
      <c r="B35" s="64"/>
      <c r="C35" s="64"/>
      <c r="D35" s="64"/>
      <c r="E35" s="64"/>
      <c r="F35" s="64"/>
      <c r="G35" s="64"/>
      <c r="H35" s="64"/>
      <c r="I35" s="65"/>
    </row>
    <row r="36" spans="1:11" x14ac:dyDescent="0.2">
      <c r="A36" s="63"/>
      <c r="B36" s="64"/>
      <c r="C36" s="64"/>
      <c r="D36" s="64"/>
      <c r="E36" s="64"/>
      <c r="F36" s="64"/>
      <c r="G36" s="64"/>
      <c r="H36" s="64"/>
      <c r="I36" s="65"/>
    </row>
    <row r="37" spans="1:11" x14ac:dyDescent="0.2">
      <c r="A37" s="63"/>
      <c r="B37" s="64"/>
      <c r="C37" s="64"/>
      <c r="D37" s="64"/>
      <c r="E37" s="64"/>
      <c r="F37" s="64"/>
      <c r="G37" s="64"/>
      <c r="H37" s="64"/>
      <c r="I37" s="65"/>
    </row>
    <row r="38" spans="1:11" x14ac:dyDescent="0.2">
      <c r="A38" s="323" t="s">
        <v>115</v>
      </c>
      <c r="B38" s="324"/>
      <c r="C38" s="324"/>
      <c r="D38" s="324"/>
      <c r="E38" s="324"/>
      <c r="F38" s="324"/>
      <c r="G38" s="324"/>
      <c r="H38" s="324"/>
      <c r="I38" s="325"/>
    </row>
    <row r="39" spans="1:11" x14ac:dyDescent="0.2">
      <c r="A39" s="326"/>
      <c r="B39" s="327"/>
      <c r="C39" s="327"/>
      <c r="D39" s="327"/>
      <c r="E39" s="327"/>
      <c r="F39" s="327"/>
      <c r="G39" s="327"/>
      <c r="H39" s="327"/>
      <c r="I39" s="328"/>
    </row>
    <row r="40" spans="1:11" x14ac:dyDescent="0.2">
      <c r="A40" s="326"/>
      <c r="B40" s="327"/>
      <c r="C40" s="327"/>
      <c r="D40" s="327"/>
      <c r="E40" s="327"/>
      <c r="F40" s="327"/>
      <c r="G40" s="327"/>
      <c r="H40" s="327"/>
      <c r="I40" s="328"/>
    </row>
    <row r="41" spans="1:11" x14ac:dyDescent="0.2">
      <c r="A41" s="326"/>
      <c r="B41" s="327"/>
      <c r="C41" s="327"/>
      <c r="D41" s="327"/>
      <c r="E41" s="327"/>
      <c r="F41" s="327"/>
      <c r="G41" s="327"/>
      <c r="H41" s="327"/>
      <c r="I41" s="328"/>
    </row>
    <row r="42" spans="1:11" x14ac:dyDescent="0.2">
      <c r="A42" s="326"/>
      <c r="B42" s="327"/>
      <c r="C42" s="327"/>
      <c r="D42" s="327"/>
      <c r="E42" s="327"/>
      <c r="F42" s="327"/>
      <c r="G42" s="327"/>
      <c r="H42" s="327"/>
      <c r="I42" s="328"/>
    </row>
    <row r="43" spans="1:11" x14ac:dyDescent="0.2">
      <c r="A43" s="326"/>
      <c r="B43" s="327"/>
      <c r="C43" s="327"/>
      <c r="D43" s="327"/>
      <c r="E43" s="327"/>
      <c r="F43" s="327"/>
      <c r="G43" s="327"/>
      <c r="H43" s="327"/>
      <c r="I43" s="328"/>
    </row>
    <row r="44" spans="1:11" x14ac:dyDescent="0.2">
      <c r="A44" s="326"/>
      <c r="B44" s="327"/>
      <c r="C44" s="327"/>
      <c r="D44" s="327"/>
      <c r="E44" s="327"/>
      <c r="F44" s="327"/>
      <c r="G44" s="327"/>
      <c r="H44" s="327"/>
      <c r="I44" s="328"/>
    </row>
    <row r="45" spans="1:11" x14ac:dyDescent="0.2">
      <c r="A45" s="326"/>
      <c r="B45" s="327"/>
      <c r="C45" s="327"/>
      <c r="D45" s="327"/>
      <c r="E45" s="327"/>
      <c r="F45" s="327"/>
      <c r="G45" s="327"/>
      <c r="H45" s="327"/>
      <c r="I45" s="328"/>
      <c r="K45" s="57"/>
    </row>
    <row r="46" spans="1:11" x14ac:dyDescent="0.2">
      <c r="A46" s="326"/>
      <c r="B46" s="327"/>
      <c r="C46" s="327"/>
      <c r="D46" s="327"/>
      <c r="E46" s="327"/>
      <c r="F46" s="327"/>
      <c r="G46" s="327"/>
      <c r="H46" s="327"/>
      <c r="I46" s="328"/>
    </row>
    <row r="47" spans="1:11" x14ac:dyDescent="0.2">
      <c r="A47" s="326"/>
      <c r="B47" s="327"/>
      <c r="C47" s="327"/>
      <c r="D47" s="327"/>
      <c r="E47" s="327"/>
      <c r="F47" s="327"/>
      <c r="G47" s="327"/>
      <c r="H47" s="327"/>
      <c r="I47" s="328"/>
    </row>
    <row r="48" spans="1:11" x14ac:dyDescent="0.2">
      <c r="A48" s="326"/>
      <c r="B48" s="327"/>
      <c r="C48" s="327"/>
      <c r="D48" s="327"/>
      <c r="E48" s="327"/>
      <c r="F48" s="327"/>
      <c r="G48" s="327"/>
      <c r="H48" s="327"/>
      <c r="I48" s="328"/>
    </row>
    <row r="49" spans="1:11" x14ac:dyDescent="0.2">
      <c r="A49" s="326"/>
      <c r="B49" s="327"/>
      <c r="C49" s="327"/>
      <c r="D49" s="327"/>
      <c r="E49" s="327"/>
      <c r="F49" s="327"/>
      <c r="G49" s="327"/>
      <c r="H49" s="327"/>
      <c r="I49" s="328"/>
    </row>
    <row r="50" spans="1:11" x14ac:dyDescent="0.2">
      <c r="A50" s="326"/>
      <c r="B50" s="327"/>
      <c r="C50" s="327"/>
      <c r="D50" s="327"/>
      <c r="E50" s="327"/>
      <c r="F50" s="327"/>
      <c r="G50" s="327"/>
      <c r="H50" s="327"/>
      <c r="I50" s="328"/>
    </row>
    <row r="51" spans="1:11" x14ac:dyDescent="0.2">
      <c r="A51" s="326"/>
      <c r="B51" s="327"/>
      <c r="C51" s="327"/>
      <c r="D51" s="327"/>
      <c r="E51" s="327"/>
      <c r="F51" s="327"/>
      <c r="G51" s="327"/>
      <c r="H51" s="327"/>
      <c r="I51" s="328"/>
    </row>
    <row r="52" spans="1:11" x14ac:dyDescent="0.2">
      <c r="A52" s="326"/>
      <c r="B52" s="327"/>
      <c r="C52" s="327"/>
      <c r="D52" s="327"/>
      <c r="E52" s="327"/>
      <c r="F52" s="327"/>
      <c r="G52" s="327"/>
      <c r="H52" s="327"/>
      <c r="I52" s="328"/>
    </row>
    <row r="53" spans="1:11" ht="16.5" thickBot="1" x14ac:dyDescent="0.25">
      <c r="A53" s="329" t="s">
        <v>116</v>
      </c>
      <c r="B53" s="330"/>
      <c r="C53" s="330"/>
      <c r="D53" s="330"/>
      <c r="E53" s="330"/>
      <c r="F53" s="330"/>
      <c r="G53" s="330"/>
      <c r="H53" s="330"/>
      <c r="I53" s="331"/>
      <c r="K53" s="57"/>
    </row>
  </sheetData>
  <mergeCells count="34">
    <mergeCell ref="A34:I34"/>
    <mergeCell ref="A38:I52"/>
    <mergeCell ref="A53:I53"/>
    <mergeCell ref="A33:I33"/>
    <mergeCell ref="B28:I28"/>
    <mergeCell ref="A29:I29"/>
    <mergeCell ref="A30:I30"/>
    <mergeCell ref="A31:I31"/>
    <mergeCell ref="A32:I32"/>
    <mergeCell ref="A23:A27"/>
    <mergeCell ref="B23:I27"/>
    <mergeCell ref="B12:H12"/>
    <mergeCell ref="B13:H13"/>
    <mergeCell ref="B14:H14"/>
    <mergeCell ref="B15:I15"/>
    <mergeCell ref="B16:H16"/>
    <mergeCell ref="B17:H17"/>
    <mergeCell ref="B18:H18"/>
    <mergeCell ref="B19:H19"/>
    <mergeCell ref="A20:H20"/>
    <mergeCell ref="A21:I21"/>
    <mergeCell ref="A22:H22"/>
    <mergeCell ref="B11:H11"/>
    <mergeCell ref="A1:I1"/>
    <mergeCell ref="A2:I2"/>
    <mergeCell ref="B3:H3"/>
    <mergeCell ref="B4:H4"/>
    <mergeCell ref="I4:I5"/>
    <mergeCell ref="B5:H5"/>
    <mergeCell ref="A6:I6"/>
    <mergeCell ref="B7:I7"/>
    <mergeCell ref="B8:H8"/>
    <mergeCell ref="B9:H9"/>
    <mergeCell ref="B10:H10"/>
  </mergeCells>
  <pageMargins left="0.511811024" right="0.511811024" top="0.78740157499999996" bottom="0.78740157499999996" header="0.31496062000000002" footer="0.31496062000000002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M.C.</vt:lpstr>
      <vt:lpstr>M.C.01</vt:lpstr>
      <vt:lpstr>ORÇA</vt:lpstr>
      <vt:lpstr>CFF</vt:lpstr>
      <vt:lpstr>BDI DES</vt:lpstr>
      <vt:lpstr>CFF!Area_de_impressao</vt:lpstr>
      <vt:lpstr>M.C.!Area_de_impressao</vt:lpstr>
      <vt:lpstr>ORÇA!Area_de_impressao</vt:lpstr>
      <vt:lpstr>M.C.!Titulos_de_impressao</vt:lpstr>
      <vt:lpstr>ORÇA!Titulos_de_impressao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Usuário do Windows</cp:lastModifiedBy>
  <cp:revision>0</cp:revision>
  <cp:lastPrinted>2022-06-30T14:43:27Z</cp:lastPrinted>
  <dcterms:created xsi:type="dcterms:W3CDTF">2022-06-06T14:14:33Z</dcterms:created>
  <dcterms:modified xsi:type="dcterms:W3CDTF">2022-07-04T13:48:58Z</dcterms:modified>
</cp:coreProperties>
</file>