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9_0.bin" ContentType="application/vnd.openxmlformats-officedocument.oleObject"/>
  <Override PartName="/xl/embeddings/oleObject_1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8800" windowHeight="12435" tabRatio="761" firstSheet="4" activeTab="4"/>
  </bookViews>
  <sheets>
    <sheet name="COMPOSIÇÕES" sheetId="1" state="hidden" r:id="rId1"/>
    <sheet name="ORÇAMENTO" sheetId="2" state="hidden" r:id="rId2"/>
    <sheet name="PREFEITURA" sheetId="3" state="hidden" r:id="rId3"/>
    <sheet name="material" sheetId="4" state="hidden" r:id="rId4"/>
    <sheet name="PL. ORÇ." sheetId="5" r:id="rId5"/>
    <sheet name="PAV. TSD" sheetId="6" r:id="rId6"/>
    <sheet name="SERVIÇOS COMPLEMENTARES" sheetId="7" state="hidden" r:id="rId7"/>
    <sheet name="SINALIZAÇÃO" sheetId="8" state="hidden" r:id="rId8"/>
    <sheet name="FIFI" sheetId="9" r:id="rId9"/>
    <sheet name="BDI SERVIÇOS" sheetId="10" r:id="rId10"/>
    <sheet name="Plan1" sheetId="11" r:id="rId11"/>
    <sheet name="ARRUAMENTO" sheetId="12" r:id="rId12"/>
    <sheet name="Plan2" sheetId="13" state="hidden" r:id="rId13"/>
  </sheets>
  <externalReferences>
    <externalReference r:id="rId16"/>
  </externalReferences>
  <definedNames>
    <definedName name="_xlnm.Print_Area" localSheetId="11">'ARRUAMENTO'!$A$1:$E$7</definedName>
    <definedName name="_xlnm.Print_Area" localSheetId="9">'BDI SERVIÇOS'!$I$1:$R$43</definedName>
    <definedName name="_xlnm.Print_Area" localSheetId="8">'FIFI'!$A$1:$H$17</definedName>
    <definedName name="_xlnm.Print_Area" localSheetId="3">'material'!$A$1:$E$27</definedName>
    <definedName name="_xlnm.Print_Area" localSheetId="1">'ORÇAMENTO'!$A$1:$J$70</definedName>
    <definedName name="_xlnm.Print_Area" localSheetId="5">'PAV. TSD'!$A$1:$H$31</definedName>
    <definedName name="_xlnm.Print_Area" localSheetId="4">'PL. ORÇ.'!$A$1:$J$40</definedName>
    <definedName name="_xlnm.Print_Area" localSheetId="2">'PREFEITURA'!$A$1:$J$42</definedName>
    <definedName name="_xlnm.Print_Area" localSheetId="6">'SERVIÇOS COMPLEMENTARES'!$B$1:$L$9</definedName>
    <definedName name="_xlnm.Print_Area" localSheetId="7">'SINALIZAÇÃO'!$A$1:$M$22</definedName>
  </definedNames>
  <calcPr fullCalcOnLoad="1"/>
</workbook>
</file>

<file path=xl/sharedStrings.xml><?xml version="1.0" encoding="utf-8"?>
<sst xmlns="http://schemas.openxmlformats.org/spreadsheetml/2006/main" count="977" uniqueCount="415">
  <si>
    <t>QUANT.</t>
  </si>
  <si>
    <t>m</t>
  </si>
  <si>
    <t>%</t>
  </si>
  <si>
    <t>ITEM</t>
  </si>
  <si>
    <t>SUB-TOTAL</t>
  </si>
  <si>
    <t>PR. UNIT.</t>
  </si>
  <si>
    <t>1.0</t>
  </si>
  <si>
    <t>1.01</t>
  </si>
  <si>
    <t>4.0</t>
  </si>
  <si>
    <t>4.01</t>
  </si>
  <si>
    <t>4.02</t>
  </si>
  <si>
    <t>4.03</t>
  </si>
  <si>
    <t>2.0</t>
  </si>
  <si>
    <t>3.0</t>
  </si>
  <si>
    <t>4.04</t>
  </si>
  <si>
    <t>SIDROLÂNDIA-MS</t>
  </si>
  <si>
    <t>DMT</t>
  </si>
  <si>
    <t>UNID.</t>
  </si>
  <si>
    <t>QUANT</t>
  </si>
  <si>
    <t>m²</t>
  </si>
  <si>
    <t>LOCAL:</t>
  </si>
  <si>
    <t xml:space="preserve">       CRONOGRAMA FÍSICO FINANCEIRO</t>
  </si>
  <si>
    <t>ITEM:</t>
  </si>
  <si>
    <t>DISCRIMINAÇÃO:</t>
  </si>
  <si>
    <t>PRAZO DE EXECUÇÃO</t>
  </si>
  <si>
    <t>TOTAL</t>
  </si>
  <si>
    <t>TOTAL SIMPLES</t>
  </si>
  <si>
    <t>TOTAL ACUMULADO</t>
  </si>
  <si>
    <t>PAVIMENTAÇÃO ASFÁLTICA</t>
  </si>
  <si>
    <t>5.0</t>
  </si>
  <si>
    <t>SERVIÇOS COMPLEMENTARES</t>
  </si>
  <si>
    <t>m³</t>
  </si>
  <si>
    <t>6.0</t>
  </si>
  <si>
    <t>74205/001</t>
  </si>
  <si>
    <t>m³xkm</t>
  </si>
  <si>
    <t>6.01</t>
  </si>
  <si>
    <t>6.02</t>
  </si>
  <si>
    <t>6.03</t>
  </si>
  <si>
    <t>SINALIZAÇÃO VERTICAL</t>
  </si>
  <si>
    <t>PR. UNIT. C/ BDI</t>
  </si>
  <si>
    <t>PR. UNIT. S/ BDI</t>
  </si>
  <si>
    <t>PR. TOTAL C/ BDI</t>
  </si>
  <si>
    <t>PR. TOTAL S/ BDI</t>
  </si>
  <si>
    <t>SERVIÇOS</t>
  </si>
  <si>
    <t>BDI:</t>
  </si>
  <si>
    <t>TOTAL GERAL COM BDI DESONERADO</t>
  </si>
  <si>
    <t>OBRA:</t>
  </si>
  <si>
    <t>BDI</t>
  </si>
  <si>
    <t>ISS</t>
  </si>
  <si>
    <t>COMPOSIÇÃO BDI COM DESONERAÇÃO - SERVIÇOS</t>
  </si>
  <si>
    <t>1.03</t>
  </si>
  <si>
    <t>MIN</t>
  </si>
  <si>
    <t>MED</t>
  </si>
  <si>
    <t>MAX</t>
  </si>
  <si>
    <t>Construção e Reforma de Edifícios</t>
  </si>
  <si>
    <t>AC</t>
  </si>
  <si>
    <t>SG</t>
  </si>
  <si>
    <t>R</t>
  </si>
  <si>
    <t>Nº TC/CR</t>
  </si>
  <si>
    <t>PROPONENTE / TOMADOR</t>
  </si>
  <si>
    <t>DF</t>
  </si>
  <si>
    <t>L</t>
  </si>
  <si>
    <t>BDI PAD</t>
  </si>
  <si>
    <t>OBJETO</t>
  </si>
  <si>
    <t>Construção de Praças Urbanas, Rodovias, Ferrovias e recapeamento e pavimentação de vias urbanas</t>
  </si>
  <si>
    <t>TIPO DE OBRA DO EMPREENDIMENTO</t>
  </si>
  <si>
    <t>DESONERAÇÃO</t>
  </si>
  <si>
    <t>Conforme legislação tributária municipal, definir estimativa de percentual da base de cálculo para o ISS:</t>
  </si>
  <si>
    <t>Construção de Redes de Abastecimento de Água, Coleta de Esgoto</t>
  </si>
  <si>
    <t>Sobre a base de cálculo, definir a respectiva alíquota do ISS (entre 2% e 5%):</t>
  </si>
  <si>
    <t>Itens</t>
  </si>
  <si>
    <t>Siglas</t>
  </si>
  <si>
    <t>% Adotado</t>
  </si>
  <si>
    <t>Situação</t>
  </si>
  <si>
    <t>Intervalo de admissibilidade</t>
  </si>
  <si>
    <t>1º Quartil</t>
  </si>
  <si>
    <t>Médio</t>
  </si>
  <si>
    <t>3º Quartil</t>
  </si>
  <si>
    <t>-</t>
  </si>
  <si>
    <t>Construção e Manutenção de Estações e Redes de Distribuição de Energia Elétrica</t>
  </si>
  <si>
    <t>Tributos (impostos COFINS 3%, e  PIS 0,65%)</t>
  </si>
  <si>
    <t>CP</t>
  </si>
  <si>
    <t>Tributos (ISS, variável de acordo com o município)</t>
  </si>
  <si>
    <t>Tributos (Contribuição Previdenciária - 0% ou 4,5%, conforme Lei 12.844/2013 - Desoneração)</t>
  </si>
  <si>
    <t>CPRB</t>
  </si>
  <si>
    <t>BDI SEM desoneração
(Fórmula Acórdão TCU)</t>
  </si>
  <si>
    <t>Obras Portuárias, Marítimas e Fluviais</t>
  </si>
  <si>
    <t>BDI COM desoneração</t>
  </si>
  <si>
    <t>BDI DES</t>
  </si>
  <si>
    <t>Os valores de BDI foram calculados com o emprego da fórmula:</t>
  </si>
  <si>
    <t xml:space="preserve"> - 1</t>
  </si>
  <si>
    <t>Fornecimento de Materiais e Equipamentos</t>
  </si>
  <si>
    <t>Local:</t>
  </si>
  <si>
    <t>Data:</t>
  </si>
  <si>
    <t>Responsável Técnico</t>
  </si>
  <si>
    <t>Nome:</t>
  </si>
  <si>
    <t>Estudos e Projetos, Planos e Gerenciamento e outros correlatos</t>
  </si>
  <si>
    <t>K1</t>
  </si>
  <si>
    <t>Título:</t>
  </si>
  <si>
    <t>K2</t>
  </si>
  <si>
    <t/>
  </si>
  <si>
    <t>K3</t>
  </si>
  <si>
    <t>PREFEITURA MUNICIPAL DE SIDROLÂNDIA</t>
  </si>
  <si>
    <t>CÓDIGO</t>
  </si>
  <si>
    <t>74010/001</t>
  </si>
  <si>
    <t>RESUMO</t>
  </si>
  <si>
    <t>UNID</t>
  </si>
  <si>
    <t>M²</t>
  </si>
  <si>
    <t>R$</t>
  </si>
  <si>
    <t>TOTAL GERAL:</t>
  </si>
  <si>
    <t>h</t>
  </si>
  <si>
    <t>PREFEITURA MUNICIPAL DE SIDROLÂNDIA MS</t>
  </si>
  <si>
    <t>Sim</t>
  </si>
  <si>
    <t>SINALIZAÇÃO VIÁRIA</t>
  </si>
  <si>
    <t>OBJETO:</t>
  </si>
  <si>
    <t>PRAZO DE EXECUÇÃO:</t>
  </si>
  <si>
    <t>DATA-BASE:</t>
  </si>
  <si>
    <t>ENCARGOS SOCIAIS HORISTAS: 90,21%</t>
  </si>
  <si>
    <t>ENCARGOS SOCIAIS MENSALISTAS: 51,28%</t>
  </si>
  <si>
    <t>SERVIÇOS PRELIMINARES</t>
  </si>
  <si>
    <t>PLACA DE OBRA EM CHAPA DE ACO GALVANIZADO</t>
  </si>
  <si>
    <t>uni</t>
  </si>
  <si>
    <t>CARGA E DESCARGA MECANICA DE SOLO UTILIZANDO CAMINHAO BASCULANTE 6,0M3/16T E PA CARREGADEIRA SOBRE PNEUS 128 HP, CAPACIDADE DA CAÇAMBA 1,7 A 2,8 M3, PESO OPERACIONAL 11632 KG</t>
  </si>
  <si>
    <t>TRANSPORTE COM CAMINHÃO BASCULANTE DE 10 M3, EM VIA URBANA PAVIMENTADA, DMT ATÉ 30 KM</t>
  </si>
  <si>
    <t>m³.km</t>
  </si>
  <si>
    <t>t.km</t>
  </si>
  <si>
    <t>IMPLANTAÇÃO ASFÁLTICA - TERRAPLENAGEM</t>
  </si>
  <si>
    <t>ESCAVACAO MECANICA DE MATERIAL 1A. CATEGORIA, PROVENIENTE DE CORTE DE SUBLEITO (C/TRATOR ESTEIRAS 160HP)</t>
  </si>
  <si>
    <t>IMPLANTAÇÃO ASFÁLTICA - PAVIMENTAÇÃO</t>
  </si>
  <si>
    <t>EXECUÇÃO DE IMPRIMAÇÃO COM ASFALTO DILUÍDO CM-30.</t>
  </si>
  <si>
    <t>CONSTRUÇÃO DE PAVIMENTO COM TRATAMENTO SUPERFICIAL DUPLO, COM EMULSÃO ASFÁLTICA RR-2C, COM CAPA SELANTE</t>
  </si>
  <si>
    <t>TRANSPORTE COMERCIAL DE BRITA</t>
  </si>
  <si>
    <t>TRANSPORTE DE MATERIAL ASFALTICO, COM CAMINHÃO COM CAPACIDADE DE 20000L EM RODOVIA PAVIMENTADA PARA DISTÂNCIAS MÉDIAS DE TRANSPORTE IGUAL O U INFERIOR A 100 KM.</t>
  </si>
  <si>
    <t>Meio-fio com sarjeta, concreto fck=15 MPa, seção 615 cm², moldado no local, inclusive escavação e pintura a cal em uma demão</t>
  </si>
  <si>
    <t>Sinalização horizontal com tinta retrorrefletiva a base de resina acrílica com microesferas de vidro</t>
  </si>
  <si>
    <t>Fornecimento e instalação de placa de sinalização vertical (até 0,30 m²), incluindo suporte de madeira pintado a cal e fixado em base de concreto 15MPa</t>
  </si>
  <si>
    <t>un</t>
  </si>
  <si>
    <t>Composições de Preços Unitários - CPU's</t>
  </si>
  <si>
    <t>Objeto:</t>
  </si>
  <si>
    <t>Município:</t>
  </si>
  <si>
    <t>Código</t>
  </si>
  <si>
    <t>Descrição</t>
  </si>
  <si>
    <t>Unidade</t>
  </si>
  <si>
    <t>Quantidade</t>
  </si>
  <si>
    <t>Utilização Operativa</t>
  </si>
  <si>
    <t>Utilização Improdutiva</t>
  </si>
  <si>
    <t>Valor Operativo</t>
  </si>
  <si>
    <t>Valor Improdutivo</t>
  </si>
  <si>
    <t>Valor Item</t>
  </si>
  <si>
    <t>kg</t>
  </si>
  <si>
    <t>94963</t>
  </si>
  <si>
    <t>Concreto fck = 15mPa, traço 1:3,4:3,5 (cimento/ areia média/ brita 1) - preparo mecânico com betoneira 400 l. af_07/2016</t>
  </si>
  <si>
    <t>Escavação manual de valas. AF_03/2016</t>
  </si>
  <si>
    <t>chp</t>
  </si>
  <si>
    <t>Lancamento/Aplicação manual de concreto em fundacoes</t>
  </si>
  <si>
    <t>IUP30002</t>
  </si>
  <si>
    <t>Recorte mecânico de pavimento asfáltico ou piso de concreto, com serra de disco diamantado para piso/asfalto</t>
  </si>
  <si>
    <t>Caiação int ou ext sobre revestimento liso c/adoção de fixador com com duas demãos</t>
  </si>
  <si>
    <t>88309</t>
  </si>
  <si>
    <t>Pedreiro com encargos complementares</t>
  </si>
  <si>
    <t>88316</t>
  </si>
  <si>
    <t>Servente com encargos complementares</t>
  </si>
  <si>
    <t>13887</t>
  </si>
  <si>
    <t>Serra diamantada 14" p/concreto</t>
  </si>
  <si>
    <t>91283</t>
  </si>
  <si>
    <t>Cortadora de piso com motor 4 tempos a gasolina, potência de 13 hp, com disco de corte diamantado segmentado para concreto, diâmetro de 350 mm, furo de 1 (14 x 1) - chp diurno. af_08/2015</t>
  </si>
  <si>
    <t>4433</t>
  </si>
  <si>
    <t>Peça de madeira de lei 1A qualidade 7,5 x 7,5cm não aparelhada</t>
  </si>
  <si>
    <t>4460</t>
  </si>
  <si>
    <t>Peça de madeira 1A qualidade 2,5 x 10cm (1 x 4") não aparelhada</t>
  </si>
  <si>
    <t>7288</t>
  </si>
  <si>
    <t>Tinta esmalte sintético fosco</t>
  </si>
  <si>
    <t>l</t>
  </si>
  <si>
    <t>88262</t>
  </si>
  <si>
    <t>Carpinteiro de formas com encargos complementares</t>
  </si>
  <si>
    <t>88310</t>
  </si>
  <si>
    <t>Pintor com encargos complementares</t>
  </si>
  <si>
    <t>34723</t>
  </si>
  <si>
    <t>Placa de sinalização em chapa de aço num 16 com pintura refletiva</t>
  </si>
  <si>
    <t>11161</t>
  </si>
  <si>
    <t>Cal hidratada p/ pintura</t>
  </si>
  <si>
    <t>11162</t>
  </si>
  <si>
    <t>Fixador de cal tipo GLOBOFIX ou equiv</t>
  </si>
  <si>
    <t>73467</t>
  </si>
  <si>
    <t>Custo horário produtivo diurno - caminhão carroceria MERCEDES BENZ - 1418/48 184 hp</t>
  </si>
  <si>
    <t>Escavação manual de vala com profundidade menor ou igual a 1,30m. Af_03/2016</t>
  </si>
  <si>
    <t>Concreto fck=15MPa, traço 1:3,4:3,5 (cimento/areia/brita 1) - preparo mecânico com betoneira 400l. Af_07/2016</t>
  </si>
  <si>
    <t>TRECHOS</t>
  </si>
  <si>
    <t>MATERIAL</t>
  </si>
  <si>
    <t>OBSERVAÇÃO</t>
  </si>
  <si>
    <t>PLANILHA DE QUANTIDADES DE
 SERVIÇOS DA PAVIMENTAÇÃO</t>
  </si>
  <si>
    <t>VIAS</t>
  </si>
  <si>
    <t>EXTENSÃO (m)</t>
  </si>
  <si>
    <t>1) PREENCHER SOMENTE CAMPOS EM AMARELO;</t>
  </si>
  <si>
    <t>SIMPLES</t>
  </si>
  <si>
    <t>DECLIVIDADE TRANSVERSAL DA PISTA  (SIMPLES ou DUPLA)</t>
  </si>
  <si>
    <t>DUPLA</t>
  </si>
  <si>
    <t xml:space="preserve">LARGURA PISTA  (m) </t>
  </si>
  <si>
    <t>Nº DE RAIOS (und)</t>
  </si>
  <si>
    <t>ÁREA MÉDIA CADA RAIO (m²)</t>
  </si>
  <si>
    <t>ÁREA TOTAL DE RAIOS (m²)</t>
  </si>
  <si>
    <t>VOLUME GEOMÉTRICO DE CORTE (m³)</t>
  </si>
  <si>
    <t>FATOR DE EMPOL - MAT. CORTE (%)</t>
  </si>
  <si>
    <t>TAXA DE MATERIAL INSERVÍVEL (%)</t>
  </si>
  <si>
    <t>BOTA-FORA - EMPOLADO (m³)</t>
  </si>
  <si>
    <t>VOLUME ESTOQUE  - EMPOLADO (m³)</t>
  </si>
  <si>
    <t>TERRAPLANAGEM
(ATERRO)</t>
  </si>
  <si>
    <t>VOLUME GEOMÉTICO DE ATERRO (m³)</t>
  </si>
  <si>
    <t>FATOR DE EMPOL - MAT. ATERRO (%)</t>
  </si>
  <si>
    <t>AQUISIÇÃO MATERIAL PARA ATERRO - EMPOLADO (m³)</t>
  </si>
  <si>
    <t>REGULARIZAÇÃO</t>
  </si>
  <si>
    <t>LARGURA (m)</t>
  </si>
  <si>
    <t>ÁREA TOTAL (m²)</t>
  </si>
  <si>
    <t>BASE ESTABILIZADA</t>
  </si>
  <si>
    <t>ESPESSURA (cm)</t>
  </si>
  <si>
    <t>FATOR DE EMPOLAMENTO (%)</t>
  </si>
  <si>
    <t>VOLUME GEOMÉTRICO (m³)</t>
  </si>
  <si>
    <t>VOLUME EMPOLADO (m³)</t>
  </si>
  <si>
    <t>IMPRIMAÇÃO
(SINAPI 96401)</t>
  </si>
  <si>
    <t>ÁREA (m²)</t>
  </si>
  <si>
    <t>ASFALTO DILUÍDO CM-30 (T)</t>
  </si>
  <si>
    <t>TSD + CAPA SELANTE
(SINAPI 97807)</t>
  </si>
  <si>
    <t>BRITA + PÓ DE PEDRA (Empolado) (m³)</t>
  </si>
  <si>
    <t>EMULSÃO RR-2C (T)</t>
  </si>
  <si>
    <t>OBSERVAÇÕES</t>
  </si>
  <si>
    <t>PLANILHA DE QUANTIDADES DE
 SERVIÇOS COMPLEMENTARES</t>
  </si>
  <si>
    <t>EXTENSÃO         (m)</t>
  </si>
  <si>
    <t>DISPOSITIVOS EM CONCRETO</t>
  </si>
  <si>
    <t>GUIA C/ SARJETA - A=615cm² (m)</t>
  </si>
  <si>
    <t>GUIA S/ SARJETA - A=285cm² (m)</t>
  </si>
  <si>
    <t>TENTO - A=330cm² (m)</t>
  </si>
  <si>
    <t>CONSUMO DE BRITA DO CONCRETO 
(m³ brita / m³ conc)</t>
  </si>
  <si>
    <t>VOLUME CONCRETO TOTAL (m³)</t>
  </si>
  <si>
    <t>BRITA EMPOLADA (m³)</t>
  </si>
  <si>
    <t>PLANILHA DE QUANTIDADES DE SERVIÇOS DE SINALIZAÇÃO VIÁRIA</t>
  </si>
  <si>
    <t>Área da placa (m²)</t>
  </si>
  <si>
    <t>Parada obrigatória (R-1)</t>
  </si>
  <si>
    <t>TOTAL PLACAS COM POSTE ATÉ 0,36m² (un)</t>
  </si>
  <si>
    <t>IDENTIFICAÇÃO DE RUA</t>
  </si>
  <si>
    <t>ADESIVO DE POSTE - 02 und / poste (un)</t>
  </si>
  <si>
    <t>PLACA ESMALTADA 45x25cm - 02 und / poste (un)</t>
  </si>
  <si>
    <t>POSTE SIMPLES H=3,50m (un)</t>
  </si>
  <si>
    <t>PINTURA MECANIZADA DE FAIXAS NO PAVIMENTO</t>
  </si>
  <si>
    <t>Faixa Continua (m)</t>
  </si>
  <si>
    <t>Largura (m)</t>
  </si>
  <si>
    <t>Faixa Tracejada (m)</t>
  </si>
  <si>
    <t>ÁREA TOTAL DE PINTURA DE FAIXA (m²)</t>
  </si>
  <si>
    <t>PINTURA MECANIZADA DE MARCAS NO PAVIMENTO - SÍMBOLOS, LINHAS, SETAS E ZEBRADOS</t>
  </si>
  <si>
    <t>Pare (un)</t>
  </si>
  <si>
    <t>Área (m²)</t>
  </si>
  <si>
    <t>ÁREA TOTAL DE PINTURA DE MARCAS (m²)</t>
  </si>
  <si>
    <t>M</t>
  </si>
  <si>
    <t>M³</t>
  </si>
  <si>
    <t>Veloc. máx. permitida 40km/h (R-19)</t>
  </si>
  <si>
    <t>Tento  (acabamento de limpa-rodas), concreto fck = 15 MPa, seção 330 cm², moldado no local, inclusive escavação</t>
  </si>
  <si>
    <t>EXECUÇÃO E COMPACTAÇÃO DE ATERRO COM SOLO PREDOMINANTEMENTE ARENOSO - EXCLUSIVE ESCAVAÇÃO, CARGA E TRANSPORTE E SOLO</t>
  </si>
  <si>
    <t>TERRAPLANAGEM - ATERRO</t>
  </si>
  <si>
    <t>Faixa de pedestre (un)</t>
  </si>
  <si>
    <t>Faixa de
retenção (un)</t>
  </si>
  <si>
    <t>TERRAPLANAGEM
(CORTE 20cm - Expurgo)</t>
  </si>
  <si>
    <t>TERRAPLANAGEM - CORTE 20cm (EXPURGO)</t>
  </si>
  <si>
    <t>BAIRRO DONA DIVA - RUAS WILSON JOSÉ MARTINS, PASCÁCIO FLEITAS E IZIDRO JAMAR</t>
  </si>
  <si>
    <t>DEPARTAMENTO DE PLANEJAMENTO</t>
  </si>
  <si>
    <t>RUA WILSON JOSÉ MARTINS</t>
  </si>
  <si>
    <t>RUA PASCÁCIO FLEITAS</t>
  </si>
  <si>
    <t>RUA IZIDRO JAMAR</t>
  </si>
  <si>
    <t>EUA PASCÁCIO FLEITAS</t>
  </si>
  <si>
    <t>LIMPA RODAS</t>
  </si>
  <si>
    <t>QUANT. M²</t>
  </si>
  <si>
    <t>4.05</t>
  </si>
  <si>
    <t>4.06</t>
  </si>
  <si>
    <t>4.07</t>
  </si>
  <si>
    <t xml:space="preserve"> IUD20017 </t>
  </si>
  <si>
    <t>Ligação provisória de água</t>
  </si>
  <si>
    <t>Sinalização de advertência de obra com placa (fundo laranja) sobre cavalete, conforme ABNT-NBR-7678</t>
  </si>
  <si>
    <t xml:space="preserve"> 95676 </t>
  </si>
  <si>
    <t>CAIXA EM CONCRETO PRÉ-MOLDADO PARA ABRIGO DE HIDRÔMETRO COM DN 20 (½)  FORNECIMENTO E INSTALAÇÃO. AF_11/2016</t>
  </si>
  <si>
    <t xml:space="preserve"> 95674 </t>
  </si>
  <si>
    <t>HIDRÔMETRO DN 20 (½), 3,0 M³/H  FORNECIMENTO E INSTALAÇÃO. AF_11/2016</t>
  </si>
  <si>
    <t xml:space="preserve"> 74218/001 </t>
  </si>
  <si>
    <t>KIT CAVALETE PVC COM REGISTRO 3/4" - FORNECIMENTO E INSTALACAO</t>
  </si>
  <si>
    <t xml:space="preserve"> 83879 </t>
  </si>
  <si>
    <t>LIGACAO DA REDE 75MM AO RAMAL PREDIAL 1/2"</t>
  </si>
  <si>
    <t xml:space="preserve"> 74253/001 </t>
  </si>
  <si>
    <t>RAMAL PREDIAL EM TUBO PEAD 20MM - FORNECIMENTO, INSTALAÇÃO, ESCAVAÇÃO E REATERRO</t>
  </si>
  <si>
    <t xml:space="preserve"> 88262 </t>
  </si>
  <si>
    <t xml:space="preserve"> 73467 </t>
  </si>
  <si>
    <t xml:space="preserve"> 88316 </t>
  </si>
  <si>
    <t xml:space="preserve"> 00004433 </t>
  </si>
  <si>
    <t xml:space="preserve"> 00004813 </t>
  </si>
  <si>
    <t>CARPINTEIRO DE FORMAS COM ENCARGOS COMPLEMENTARES</t>
  </si>
  <si>
    <t>CAMINHÃO TOCO, PBT 14.300 KG, CARGA ÚTIL MÁX. 9.710 KG, DIST. ENTRE EIXOS 3,56 M, POTÊNCIA 185 CV, INCLUSIVE CARROCERIA FIXA ABERTA DE MADEIRA P/ TRANSPORTE GERAL DE CARGA SECA, DIMEN. APROX. 2,50 X 6,50 X 0,50 M - CHP DIURNO. AF_06/2014</t>
  </si>
  <si>
    <t>SERVENTE COM ENCARGOS COMPLEMENTARES</t>
  </si>
  <si>
    <t>PECA DE MADEIRA NAO APARELHADA *7,5 X 7,5* CM (3 X 3 ") MACARANDUBA, ANGELIM OU EQUIVALENTE DA REGIAO</t>
  </si>
  <si>
    <t>PLACA DE OBRA (PARA CONSTRUCAO CIVIL) EM CHAPA GALVANIZADA *N. 22*, ADESIVADA, DE *2,0 X 1,125* M</t>
  </si>
  <si>
    <t>PLANILHA ORÇAMENTÁRIA - PAVIMENTAÇÃO ASFÁLTICA</t>
  </si>
  <si>
    <t xml:space="preserve">INFRAESTRUTURA URBANA - PAVIMENTAÇÃO ASFÁLTICA </t>
  </si>
  <si>
    <t>3.1</t>
  </si>
  <si>
    <t>3.1.1</t>
  </si>
  <si>
    <t>3.1.2</t>
  </si>
  <si>
    <t>3.1.3</t>
  </si>
  <si>
    <t>3.2</t>
  </si>
  <si>
    <t>3.2.1</t>
  </si>
  <si>
    <t>3.2.2</t>
  </si>
  <si>
    <t>3.2.3</t>
  </si>
  <si>
    <t>3.2.4</t>
  </si>
  <si>
    <t>4.08</t>
  </si>
  <si>
    <t>5.01</t>
  </si>
  <si>
    <t>5.02</t>
  </si>
  <si>
    <t>5.03</t>
  </si>
  <si>
    <t>120 DIAS</t>
  </si>
  <si>
    <t>4.09</t>
  </si>
  <si>
    <t>REGULARIZAÇÃO E COMPACTAÇÃO DE SUBLEITO DE SOLO PREDOMINANTEMENTE ARGILOSO.</t>
  </si>
  <si>
    <t>TRANSPORTE COM CAMINHÃO BASCULANTE DE 10 M3, EM VIA URBANA PAVIMENTADA</t>
  </si>
  <si>
    <t>Sarrafo de madeira não aparelhada *2,5 X 7*cm, macaranduba, angelim ou equivalente da região.</t>
  </si>
  <si>
    <t>Pontalete de madeira não aparelhada *7,5 X 7,5* cm (3 X 3 ") pinus, mista ou equivalente da região.</t>
  </si>
  <si>
    <t>Placa de obra (para construção civil) em chapa galvanizada *N. 22*, adesivada.</t>
  </si>
  <si>
    <t>PREGO DE ACO POLIDO COM CABECA 18 X 30 (2 3/4 X 10)</t>
  </si>
  <si>
    <t xml:space="preserve">Concreto magro para lastro, traço 1:4,5:4,5 </t>
  </si>
  <si>
    <t>MUNICíPIO:</t>
  </si>
  <si>
    <t>COMP.04 - Tento  (acabamento de limpa-rodas), concreto fck = 15 MPa, seção 330 cm², moldado no local, inclusive escavação ( m )</t>
  </si>
  <si>
    <t>COMP.05</t>
  </si>
  <si>
    <t>COMP.06 - PLACA DE OBRA</t>
  </si>
  <si>
    <t>Comp.06</t>
  </si>
  <si>
    <t>COMP.01- Meio-fio com sarjeta, concreto fck=15 MPa, seção 615 cm², moldado no local, inclusive escavação e pintura a cal em uma demão ( m )</t>
  </si>
  <si>
    <t>COMP.07 - Recorte mecânico de pavimento asfáltico ou piso de concreto, com serra de disco diamantado para piso/asfalto ( m )</t>
  </si>
  <si>
    <t>COMP.01</t>
  </si>
  <si>
    <t>COMP.04</t>
  </si>
  <si>
    <t>COMP.07</t>
  </si>
  <si>
    <t>COMP.03</t>
  </si>
  <si>
    <t>COMP.02</t>
  </si>
  <si>
    <t>COMP.03 - Fornecimento e instalação de placa de sinalização vertical (até 0,30 m²), incluindo suporte de madeira pintado a cal e fixado em base de concreto 15 MPa ( PARE )</t>
  </si>
  <si>
    <t>COMP.02 - Confecção placa, suporte e travessa para placa de sinalização ( un )</t>
  </si>
  <si>
    <t>BUCHA DE NYLON SEM ABA S6, COM PARAFUSO DE 4,20 X 40 MM EM ACO ZINCADO COM ROSCA SOBERBA, CABECA CHATA E FENDA PHILLIPS</t>
  </si>
  <si>
    <t>PLACA DE ACO ESMALTADA PARA IDENTIFICACAO DE RUA, *45 CM X 20* CM</t>
  </si>
  <si>
    <t>Confecção placa, suporte e travessa para placa de sinalização</t>
  </si>
  <si>
    <t>Grau de Sigilo</t>
  </si>
  <si>
    <t>#PUBLICO</t>
  </si>
  <si>
    <t>Responsável Tomador</t>
  </si>
  <si>
    <t>Cargo:</t>
  </si>
  <si>
    <t>CREA/CAU:</t>
  </si>
  <si>
    <t>CASCALHO DE CAVA</t>
  </si>
  <si>
    <t>CASCALHO CAVA</t>
  </si>
  <si>
    <t>RUA OSCAR PEREIRA DE BRITO</t>
  </si>
  <si>
    <t>RUA TOMÁZ CÁCERES</t>
  </si>
  <si>
    <t>RUA PEDRO CELESTINO</t>
  </si>
  <si>
    <t>RUA HUMBERTO M. CAMPOS</t>
  </si>
  <si>
    <t>CASCALHO</t>
  </si>
  <si>
    <t>ADMINISTRAÇÃO LOCAL</t>
  </si>
  <si>
    <t>mês</t>
  </si>
  <si>
    <t>dias</t>
  </si>
  <si>
    <t>2.01</t>
  </si>
  <si>
    <t>ENGENHEIRO CIVIL DE OBRA PLENO COM ENCARGOS COMPLEMENTARES</t>
  </si>
  <si>
    <t>2.02</t>
  </si>
  <si>
    <t>MESTRE DE OBRAS COM ENCARGOS COMPLEMENTARES</t>
  </si>
  <si>
    <t>2.03</t>
  </si>
  <si>
    <t>VIGIA NOTURNO COM ENCARGOS COMPLEMENTARES</t>
  </si>
  <si>
    <t>2.04</t>
  </si>
  <si>
    <t>TOPOGRAFO COM ENCARGOS COMPLEMENTARES</t>
  </si>
  <si>
    <t>2.05</t>
  </si>
  <si>
    <t>AUXILIAR DE TOPÓGRAFO COM ENCARGOS COMPLEMENTARES</t>
  </si>
  <si>
    <t>2.1</t>
  </si>
  <si>
    <t>2.1.1</t>
  </si>
  <si>
    <t>2.2.</t>
  </si>
  <si>
    <t>2.2.1</t>
  </si>
  <si>
    <t>3.01</t>
  </si>
  <si>
    <t>3.02</t>
  </si>
  <si>
    <t>3.03</t>
  </si>
  <si>
    <t>BAIRRO DONA DIVA - DIVERSAS RUAS</t>
  </si>
  <si>
    <t>REFERÊNCIA</t>
  </si>
  <si>
    <t xml:space="preserve">SINAPI </t>
  </si>
  <si>
    <t>MUNICIPIO:</t>
  </si>
  <si>
    <t>INFRAESTRUTURA URBANA - PAVIMENTAÇÃO ASFALTICA</t>
  </si>
  <si>
    <t>TRECHO</t>
  </si>
  <si>
    <t xml:space="preserve">LARGURA PAV.  (m) </t>
  </si>
  <si>
    <t>ÁREA TOTAL C/ RAIOS (m²)</t>
  </si>
  <si>
    <t>ÁREA TOTAL:</t>
  </si>
  <si>
    <t>ENCARGOS SOCIAIS HORISTAS: 83,00%</t>
  </si>
  <si>
    <t>ENCARGOS SOCIAIS MENSALISTAS: 46,50%</t>
  </si>
  <si>
    <t>TOTAL DA FASE</t>
  </si>
  <si>
    <t>ÁREA TOTAL: (m²)</t>
  </si>
  <si>
    <t>PLANILHA DE ARRUAMENTOS - PAVIMENTAÇÃO BAIRRO PARAÍSO</t>
  </si>
  <si>
    <t>RUA ESPIRITO SANTO</t>
  </si>
  <si>
    <t>RUA VALTER MACEDO DE ARAUJO</t>
  </si>
  <si>
    <t>RUA SONIA DE ALMEIDA HORTENCIO</t>
  </si>
  <si>
    <t>RUA JANDIR DOS SANTOS</t>
  </si>
  <si>
    <t>60 DIAS</t>
  </si>
  <si>
    <t xml:space="preserve">BAIRRO RESIDENCIAL OLENKA - DIVERSAS RUAS </t>
  </si>
  <si>
    <t>30 DIAS</t>
  </si>
  <si>
    <t>90 DIAS</t>
  </si>
  <si>
    <t>ENGENHEIRO CIVIL PLENO COM ENCARGOS COMPLEMENTARES</t>
  </si>
  <si>
    <t>MÊS</t>
  </si>
  <si>
    <t>74209/007</t>
  </si>
  <si>
    <t>EXECUÇÃO DE IMPRIMAÇÃO COM ASFALTO DILUÍDO (IMPRIMA)</t>
  </si>
  <si>
    <t>PAVIMENTO COM TRATAMENTO SUPERFICIAL DUPLO, COM EMULSÃO ASFÁLTICA RR-2C, COM CAPA SELANTE. AF_01/2020</t>
  </si>
  <si>
    <t>TRANSPORTE</t>
  </si>
  <si>
    <t>TRANSPORTE COM CAMINHÃO TANQUE DE TRANSPORTE DE MATERIAL ASFÁLTICO DE 20000 L, EM VIA URBANA PAVIMENTADA, DMT ATÉ 30KM (UNIDADE: TXKM). CM 30</t>
  </si>
  <si>
    <t>TXKM</t>
  </si>
  <si>
    <t>TRANSPORTE COM CAMINHÃO TANQUE DE TRANSPORTE DE MATERIAL ASFÁLTICO DE 20000 L, EM VIA URBANA PAVIMENTADA, ADICIONAL PARA DMT EXCEDENTE A 30 KM (UNIDADE: TXKM) - Ccm 30</t>
  </si>
  <si>
    <t>TRANSPORTE COM CAMINHÃO TANQUE DE TRANSPORTE DE MATERIAL ASFÁLTICO DE 20000 L, EM VIA URBANA PAVIMENTADA, DMT ATÉ 30KM (UNIDADE: TXKM). RR-2C</t>
  </si>
  <si>
    <t>3.04</t>
  </si>
  <si>
    <t>TRANSPORTE COM CAMINHÃO TANQUE DE TRANSPORTE DE MATERIAL ASFÁLTICO DE 20000 L, EM VIA URBANA PAVIMENTADA, ADICIONAL PARA DMT EXCEDENTE A 30 KM (UNIDADE: TXKM).RR-2C</t>
  </si>
  <si>
    <r>
      <t xml:space="preserve">TRANSPORTE COM CAMINHÃO BASCULANTE DE 18 M³, EM VIA URBANA PAVIMENTADA, DMT ATÉ 30 KM (UNIDADE: TXKM). AF_07/2020 - </t>
    </r>
    <r>
      <rPr>
        <b/>
        <sz val="10"/>
        <rFont val="Arial"/>
        <family val="2"/>
      </rPr>
      <t>BRITA 0 ou PEDRISCO</t>
    </r>
  </si>
  <si>
    <t>2.08</t>
  </si>
  <si>
    <r>
      <t xml:space="preserve">TRANSPORTE COM CAMINHÃO BASCULANTE DE 18 M³, EM VIA URBANA PAVIMENTADA, DMT ATÉ 30 KM (UNIDADE: TXKM). AF_07/2020 - </t>
    </r>
    <r>
      <rPr>
        <b/>
        <sz val="10"/>
        <rFont val="Arial"/>
        <family val="2"/>
      </rPr>
      <t>BRITA 01</t>
    </r>
  </si>
  <si>
    <t>2.09</t>
  </si>
  <si>
    <r>
      <t xml:space="preserve">TRANSPORTE COM CAMINHÃO BASCULANTE DE 18 M³, EM VIA URBANA PAVIMENTADA, DMT ATÉ 30 KM (UNIDADE: TXKM). AF_07/2020 - </t>
    </r>
    <r>
      <rPr>
        <b/>
        <sz val="10"/>
        <rFont val="Arial"/>
        <family val="2"/>
      </rPr>
      <t>AREIA</t>
    </r>
  </si>
  <si>
    <t>3.07</t>
  </si>
  <si>
    <t>70km</t>
  </si>
  <si>
    <t>COEFICIENTE</t>
  </si>
  <si>
    <t>M²XCoeficiente</t>
  </si>
  <si>
    <t xml:space="preserve">Massa Especifica </t>
  </si>
  <si>
    <t>Massa.E X Resultado M²*Coenficiente/1000</t>
  </si>
  <si>
    <t>Rsultado anterior X 30KM</t>
  </si>
  <si>
    <t>BAIRRO OLENKA - SIDROLÂNDIA-MS</t>
  </si>
</sst>
</file>

<file path=xl/styles.xml><?xml version="1.0" encoding="utf-8"?>
<styleSheet xmlns="http://schemas.openxmlformats.org/spreadsheetml/2006/main">
  <numFmts count="6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0.000"/>
    <numFmt numFmtId="185" formatCode="0.0000"/>
    <numFmt numFmtId="186" formatCode="#,##0.000"/>
    <numFmt numFmtId="187" formatCode="#,##0.0000"/>
    <numFmt numFmtId="188" formatCode="0.0"/>
    <numFmt numFmtId="189" formatCode="&quot;Sim&quot;;&quot;Sim&quot;;&quot;Não&quot;"/>
    <numFmt numFmtId="190" formatCode="&quot;Verdadeiro&quot;;&quot;Verdadeiro&quot;;&quot;Falso&quot;"/>
    <numFmt numFmtId="191" formatCode="&quot;Ativar&quot;;&quot;Ativar&quot;;&quot;Desativar&quot;"/>
    <numFmt numFmtId="192" formatCode="0.00000"/>
    <numFmt numFmtId="193" formatCode="#,##0.000_);\(#,##0.000\)"/>
    <numFmt numFmtId="194" formatCode="0.000000%"/>
    <numFmt numFmtId="195" formatCode="[$-416]dddd\,\ d&quot; de &quot;mmmm&quot; de &quot;yyyy"/>
    <numFmt numFmtId="196" formatCode="[$-416]mmmm\-yy;@"/>
    <numFmt numFmtId="197" formatCode="#,##0.00_ ;[Red]\-#,##0.00\ "/>
    <numFmt numFmtId="198" formatCode="#,##0.000_);[Red]\(#,##0.000\)"/>
    <numFmt numFmtId="199" formatCode="#,##0.0_);[Red]\(#,##0.0\)"/>
    <numFmt numFmtId="200" formatCode="_(* #,##0.000_);_(* \(#,##0.000\);_(* &quot;-&quot;??_);_(@_)"/>
    <numFmt numFmtId="201" formatCode="0.0000000000"/>
    <numFmt numFmtId="202" formatCode="0.0%"/>
    <numFmt numFmtId="203" formatCode="#,##0.00000_);\(#,##0.00000\)"/>
    <numFmt numFmtId="204" formatCode="#,##0.0;[Red]\-#,##0.0"/>
    <numFmt numFmtId="205" formatCode="#,##0.000;[Red]\-#,##0.000"/>
    <numFmt numFmtId="206" formatCode="#,##0.00_ ;\-#,##0.00\ "/>
    <numFmt numFmtId="207" formatCode="#,##0.00_);[Red]\(#,##0.00\)"/>
    <numFmt numFmtId="208" formatCode="#,##0.0000_);[Red]\(#,##0.0000\)"/>
    <numFmt numFmtId="209" formatCode="dd\ &quot;de&quot;\ mmmm\ &quot;de&quot;\ yyyy"/>
    <numFmt numFmtId="210" formatCode="&quot;R$&quot;#,##0.00"/>
    <numFmt numFmtId="211" formatCode="###,##0.00000000"/>
    <numFmt numFmtId="212" formatCode="###,##0.00"/>
    <numFmt numFmtId="213" formatCode="#,##0.000;\-#,##0.000"/>
    <numFmt numFmtId="214" formatCode="#,##0.00_);\(#,##0.00\)"/>
    <numFmt numFmtId="215" formatCode="#,##0_);\(#,##0\)"/>
    <numFmt numFmtId="216" formatCode="#,##0.0"/>
    <numFmt numFmtId="217" formatCode="#,##0.0000000"/>
    <numFmt numFmtId="218" formatCode="_-[$R$-416]\ * #,##0.00_-;\-[$R$-416]\ * #,##0.00_-;_-[$R$-416]\ * &quot;-&quot;??_-;_-@_-"/>
  </numFmts>
  <fonts count="10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b/>
      <i/>
      <sz val="16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u val="single"/>
      <sz val="15"/>
      <name val="Arial"/>
      <family val="2"/>
    </font>
    <font>
      <sz val="11"/>
      <color indexed="9"/>
      <name val="Arial"/>
      <family val="2"/>
    </font>
    <font>
      <b/>
      <sz val="11"/>
      <color indexed="12"/>
      <name val="Arial"/>
      <family val="2"/>
    </font>
    <font>
      <i/>
      <sz val="12"/>
      <name val="Calibri"/>
      <family val="2"/>
    </font>
    <font>
      <i/>
      <u val="single"/>
      <sz val="12"/>
      <name val="Calibri"/>
      <family val="2"/>
    </font>
    <font>
      <b/>
      <sz val="18"/>
      <name val="Arial"/>
      <family val="2"/>
    </font>
    <font>
      <b/>
      <sz val="15"/>
      <name val="Arial"/>
      <family val="2"/>
    </font>
    <font>
      <sz val="10"/>
      <color indexed="8"/>
      <name val="Arial"/>
      <family val="2"/>
    </font>
    <font>
      <b/>
      <sz val="8"/>
      <name val="Heveltica"/>
      <family val="0"/>
    </font>
    <font>
      <sz val="8"/>
      <name val="Heveltica"/>
      <family val="0"/>
    </font>
    <font>
      <sz val="8"/>
      <name val="Helvetica"/>
      <family val="2"/>
    </font>
    <font>
      <b/>
      <sz val="8"/>
      <name val="Helvetica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Heveltica"/>
      <family val="0"/>
    </font>
    <font>
      <b/>
      <sz val="9"/>
      <name val="Heveltica"/>
      <family val="0"/>
    </font>
    <font>
      <sz val="9"/>
      <name val="Heveltica"/>
      <family val="0"/>
    </font>
    <font>
      <sz val="11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5"/>
      <name val="Times New Roman"/>
      <family val="1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color indexed="10"/>
      <name val="Arial"/>
      <family val="2"/>
    </font>
    <font>
      <sz val="10"/>
      <color indexed="8"/>
      <name val="Arial Narrow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0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8"/>
      <name val="Arial Narrow"/>
      <family val="2"/>
    </font>
    <font>
      <b/>
      <sz val="10"/>
      <color indexed="10"/>
      <name val="Arial Narrow"/>
      <family val="2"/>
    </font>
    <font>
      <b/>
      <sz val="11"/>
      <color indexed="10"/>
      <name val="Arial Narrow"/>
      <family val="2"/>
    </font>
    <font>
      <b/>
      <sz val="10"/>
      <color indexed="10"/>
      <name val="Arial"/>
      <family val="2"/>
    </font>
    <font>
      <sz val="9"/>
      <color indexed="63"/>
      <name val="Arial"/>
      <family val="2"/>
    </font>
    <font>
      <b/>
      <sz val="18"/>
      <name val="Calibri"/>
      <family val="2"/>
    </font>
    <font>
      <b/>
      <sz val="15"/>
      <name val="Calibri"/>
      <family val="2"/>
    </font>
    <font>
      <b/>
      <sz val="16"/>
      <name val="Calibri"/>
      <family val="2"/>
    </font>
    <font>
      <b/>
      <sz val="15"/>
      <color indexed="10"/>
      <name val="Arial"/>
      <family val="2"/>
    </font>
    <font>
      <b/>
      <sz val="13"/>
      <color indexed="10"/>
      <name val="Arial"/>
      <family val="2"/>
    </font>
    <font>
      <sz val="20"/>
      <color indexed="10"/>
      <name val="Calibri"/>
      <family val="2"/>
    </font>
    <font>
      <b/>
      <sz val="14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i/>
      <sz val="10"/>
      <color rgb="FFFF0000"/>
      <name val="Arial"/>
      <family val="2"/>
    </font>
    <font>
      <sz val="10"/>
      <color rgb="FF000000"/>
      <name val="Arial Narrow"/>
      <family val="2"/>
    </font>
    <font>
      <b/>
      <sz val="10"/>
      <color theme="1"/>
      <name val="Calibri"/>
      <family val="2"/>
    </font>
    <font>
      <sz val="10"/>
      <color rgb="FFFF0000"/>
      <name val="Arial Narrow"/>
      <family val="2"/>
    </font>
    <font>
      <sz val="11"/>
      <color rgb="FFFF0000"/>
      <name val="Arial Narrow"/>
      <family val="2"/>
    </font>
    <font>
      <sz val="10"/>
      <color rgb="FFFF0000"/>
      <name val="Arial"/>
      <family val="2"/>
    </font>
    <font>
      <b/>
      <sz val="10"/>
      <color rgb="FF000000"/>
      <name val="Arial Narrow"/>
      <family val="2"/>
    </font>
    <font>
      <b/>
      <sz val="10"/>
      <color rgb="FFFF0000"/>
      <name val="Arial Narrow"/>
      <family val="2"/>
    </font>
    <font>
      <b/>
      <sz val="11"/>
      <color rgb="FFFF0000"/>
      <name val="Arial Narrow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sz val="9"/>
      <color rgb="FF333333"/>
      <name val="Arial"/>
      <family val="2"/>
    </font>
    <font>
      <b/>
      <sz val="15"/>
      <color rgb="FFFF0000"/>
      <name val="Arial"/>
      <family val="2"/>
    </font>
    <font>
      <b/>
      <sz val="13"/>
      <color rgb="FFFF0000"/>
      <name val="Arial"/>
      <family val="2"/>
    </font>
    <font>
      <sz val="20"/>
      <color rgb="FFFF0000"/>
      <name val="Calibri"/>
      <family val="2"/>
    </font>
    <font>
      <b/>
      <sz val="14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D6D6D6"/>
        <bgColor indexed="64"/>
      </patternFill>
    </fill>
    <fill>
      <patternFill patternType="solid">
        <fgColor theme="0" tint="-0.1499900072813034"/>
        <bgColor indexed="64"/>
      </patternFill>
    </fill>
  </fills>
  <borders count="1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dotted"/>
    </border>
    <border>
      <left style="thin"/>
      <right style="thin"/>
      <top style="thick"/>
      <bottom style="dotted"/>
    </border>
    <border>
      <left style="thin"/>
      <right style="thick"/>
      <top style="thick"/>
      <bottom style="dotted"/>
    </border>
    <border>
      <left style="thick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thick"/>
      <top style="dotted"/>
      <bottom style="dotted"/>
    </border>
    <border>
      <left style="thick"/>
      <right style="thin"/>
      <top style="dotted"/>
      <bottom/>
    </border>
    <border>
      <left style="thin"/>
      <right style="thin"/>
      <top style="dotted"/>
      <bottom/>
    </border>
    <border>
      <left style="thin"/>
      <right style="thick"/>
      <top style="dotted"/>
      <bottom/>
    </border>
    <border>
      <left style="thick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thick"/>
      <top style="dotted"/>
      <bottom style="medium"/>
    </border>
    <border>
      <left style="thin"/>
      <right style="thick"/>
      <top style="medium"/>
      <bottom style="thin"/>
    </border>
    <border>
      <left style="thin"/>
      <right style="thick"/>
      <top style="medium"/>
      <bottom/>
    </border>
    <border>
      <left style="thin"/>
      <right style="thick"/>
      <top style="thin"/>
      <bottom style="thin"/>
    </border>
    <border>
      <left style="thick"/>
      <right style="thin"/>
      <top/>
      <bottom style="medium"/>
    </border>
    <border>
      <left style="thin"/>
      <right style="thin"/>
      <top>
        <color indexed="63"/>
      </top>
      <bottom style="medium"/>
    </border>
    <border>
      <left style="thin"/>
      <right style="thick"/>
      <top style="thin"/>
      <bottom style="medium"/>
    </border>
    <border>
      <left style="thin"/>
      <right style="thick"/>
      <top/>
      <bottom style="thin"/>
    </border>
    <border>
      <left style="thick"/>
      <right style="thin"/>
      <top/>
      <bottom style="dotted"/>
    </border>
    <border>
      <left style="thin"/>
      <right style="thin"/>
      <top/>
      <bottom style="dotted"/>
    </border>
    <border>
      <left style="thin"/>
      <right style="thick"/>
      <top/>
      <bottom style="dotted"/>
    </border>
    <border>
      <left style="thin"/>
      <right style="thick"/>
      <top style="thin"/>
      <bottom/>
    </border>
    <border>
      <left style="thick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thick"/>
      <top style="medium"/>
      <bottom style="dotted"/>
    </border>
    <border>
      <left style="thin"/>
      <right style="thick"/>
      <top/>
      <bottom/>
    </border>
    <border>
      <left style="thick"/>
      <right/>
      <top style="dotted"/>
      <bottom style="dotted"/>
    </border>
    <border>
      <left style="thick"/>
      <right/>
      <top style="dotted"/>
      <bottom style="medium"/>
    </border>
    <border>
      <left/>
      <right style="thin"/>
      <top/>
      <bottom style="thick"/>
    </border>
    <border>
      <left style="thin"/>
      <right style="thick"/>
      <top/>
      <bottom style="thick"/>
    </border>
    <border>
      <left style="thick"/>
      <right style="thin"/>
      <top style="thick"/>
      <bottom style="thick"/>
    </border>
    <border>
      <left/>
      <right style="thick"/>
      <top style="thick"/>
      <bottom style="thick"/>
    </border>
    <border>
      <left style="thick"/>
      <right style="thin"/>
      <top style="thick"/>
      <bottom/>
    </border>
    <border>
      <left/>
      <right style="thin"/>
      <top style="thick"/>
      <bottom/>
    </border>
    <border>
      <left/>
      <right style="thick"/>
      <top style="thick"/>
      <bottom/>
    </border>
    <border>
      <left/>
      <right style="thin"/>
      <top style="medium"/>
      <bottom style="dotted"/>
    </border>
    <border>
      <left/>
      <right style="thick"/>
      <top style="medium"/>
      <bottom style="dotted"/>
    </border>
    <border>
      <left/>
      <right style="thin"/>
      <top style="dotted"/>
      <bottom style="dotted"/>
    </border>
    <border>
      <left/>
      <right style="thick"/>
      <top style="dotted"/>
      <bottom style="dotted"/>
    </border>
    <border>
      <left style="thick"/>
      <right style="thin"/>
      <top/>
      <bottom style="thick"/>
    </border>
    <border>
      <left/>
      <right style="thick"/>
      <top/>
      <bottom style="thick"/>
    </border>
    <border>
      <left style="thin"/>
      <right style="thick"/>
      <top style="thick"/>
      <bottom style="thin"/>
    </border>
    <border>
      <left/>
      <right style="thick"/>
      <top/>
      <bottom style="thin"/>
    </border>
    <border>
      <left/>
      <right style="thick"/>
      <top style="thin"/>
      <bottom style="thin"/>
    </border>
    <border>
      <left/>
      <right style="thick"/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ck"/>
      <top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ck"/>
    </border>
    <border>
      <left/>
      <right/>
      <top style="thick"/>
      <bottom/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n"/>
      <top style="medium"/>
      <bottom/>
    </border>
    <border>
      <left style="thick"/>
      <right style="thin"/>
      <top style="dashed"/>
      <bottom style="dott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>
        <color rgb="FFCCCCCC"/>
      </right>
      <top>
        <color indexed="63"/>
      </top>
      <bottom style="thin">
        <color rgb="FFCCCCCC"/>
      </bottom>
    </border>
    <border>
      <left style="thin">
        <color rgb="FFCCCCCC"/>
      </left>
      <right style="medium"/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medium"/>
      <top style="thin">
        <color rgb="FFCCCCCC"/>
      </top>
      <bottom style="thin">
        <color rgb="FFCCCCCC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thin">
        <color rgb="FFCCCCCC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dashed"/>
      <top style="medium"/>
      <bottom>
        <color indexed="63"/>
      </bottom>
    </border>
    <border>
      <left/>
      <right style="thin"/>
      <top/>
      <bottom style="medium"/>
    </border>
    <border>
      <left style="dashed"/>
      <right style="dashed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>
        <color indexed="63"/>
      </left>
      <right style="thin">
        <color rgb="FFCCCCCC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ashed"/>
      <right>
        <color indexed="63"/>
      </right>
      <top style="medium"/>
      <bottom style="medium"/>
    </border>
    <border>
      <left>
        <color indexed="63"/>
      </left>
      <right style="dashed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ck"/>
      <right/>
      <top style="thick"/>
      <bottom/>
    </border>
    <border>
      <left style="thick"/>
      <right style="thick"/>
      <top/>
      <bottom/>
    </border>
    <border>
      <left/>
      <right/>
      <top style="thick"/>
      <bottom style="thick"/>
    </border>
    <border>
      <left style="thick"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 style="thin"/>
      <bottom style="medium"/>
    </border>
    <border>
      <left/>
      <right style="thick"/>
      <top style="thin"/>
      <bottom style="medium"/>
    </border>
    <border>
      <left style="thick"/>
      <right style="thin"/>
      <top/>
      <bottom/>
    </border>
    <border>
      <left/>
      <right style="thin"/>
      <top style="medium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ck"/>
    </border>
    <border>
      <left/>
      <right/>
      <top style="thick"/>
      <bottom style="thin"/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/>
    </border>
    <border>
      <left style="thick"/>
      <right style="thin"/>
      <top style="thin"/>
      <bottom style="medium"/>
    </border>
    <border>
      <left style="thick"/>
      <right/>
      <top/>
      <bottom/>
    </border>
    <border>
      <left style="thick"/>
      <right>
        <color indexed="63"/>
      </right>
      <top>
        <color indexed="63"/>
      </top>
      <bottom style="thick"/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medium"/>
      <right/>
      <top style="thick"/>
      <bottom style="thin"/>
    </border>
    <border>
      <left/>
      <right style="thin"/>
      <top style="thick"/>
      <bottom style="thin"/>
    </border>
    <border>
      <left style="thick"/>
      <right style="medium"/>
      <top style="medium"/>
      <bottom/>
    </border>
    <border>
      <left style="thick"/>
      <right style="medium"/>
      <top/>
      <bottom style="medium"/>
    </border>
    <border>
      <left style="medium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ck"/>
      <top style="medium"/>
      <bottom style="thin"/>
    </border>
    <border>
      <left style="thick"/>
      <right/>
      <top style="medium"/>
      <bottom style="thick"/>
    </border>
    <border>
      <left/>
      <right/>
      <top style="medium"/>
      <bottom style="thick"/>
    </border>
    <border>
      <left/>
      <right style="thick"/>
      <top style="medium"/>
      <bottom style="thick"/>
    </border>
    <border>
      <left style="thick"/>
      <right style="thick"/>
      <top style="thick"/>
      <bottom style="thick"/>
    </border>
    <border>
      <left/>
      <right style="thin"/>
      <top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7" fillId="20" borderId="0" applyNumberFormat="0" applyBorder="0" applyAlignment="0" applyProtection="0"/>
    <xf numFmtId="0" fontId="78" fillId="21" borderId="1" applyNumberFormat="0" applyAlignment="0" applyProtection="0"/>
    <xf numFmtId="0" fontId="79" fillId="22" borderId="2" applyNumberFormat="0" applyAlignment="0" applyProtection="0"/>
    <xf numFmtId="0" fontId="80" fillId="0" borderId="3" applyNumberFormat="0" applyFill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6" fillId="26" borderId="0" applyNumberFormat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8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2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4" fillId="21" borderId="5" applyNumberFormat="0" applyAlignment="0" applyProtection="0"/>
    <xf numFmtId="175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90" fillId="0" borderId="8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9" applyNumberFormat="0" applyFill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980">
    <xf numFmtId="0" fontId="0" fillId="0" borderId="0" xfId="0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 vertical="center"/>
    </xf>
    <xf numFmtId="10" fontId="0" fillId="0" borderId="11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right" vertical="center"/>
    </xf>
    <xf numFmtId="10" fontId="1" fillId="0" borderId="12" xfId="0" applyNumberFormat="1" applyFont="1" applyFill="1" applyBorder="1" applyAlignment="1">
      <alignment horizontal="center" vertical="center"/>
    </xf>
    <xf numFmtId="4" fontId="8" fillId="0" borderId="12" xfId="0" applyNumberFormat="1" applyFont="1" applyFill="1" applyBorder="1" applyAlignment="1">
      <alignment horizontal="right" vertical="center"/>
    </xf>
    <xf numFmtId="4" fontId="0" fillId="0" borderId="0" xfId="0" applyNumberFormat="1" applyFill="1" applyBorder="1" applyAlignment="1">
      <alignment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7" fontId="1" fillId="0" borderId="0" xfId="0" applyNumberFormat="1" applyFont="1" applyBorder="1" applyAlignment="1">
      <alignment horizontal="left" vertical="center"/>
    </xf>
    <xf numFmtId="177" fontId="0" fillId="0" borderId="0" xfId="72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10" fontId="0" fillId="0" borderId="0" xfId="59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193" fontId="1" fillId="0" borderId="0" xfId="0" applyNumberFormat="1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/>
    </xf>
    <xf numFmtId="10" fontId="0" fillId="0" borderId="0" xfId="59" applyNumberFormat="1" applyFont="1" applyBorder="1" applyAlignment="1">
      <alignment vertical="center" wrapText="1"/>
    </xf>
    <xf numFmtId="0" fontId="91" fillId="0" borderId="14" xfId="0" applyFont="1" applyBorder="1" applyAlignment="1" applyProtection="1">
      <alignment/>
      <protection/>
    </xf>
    <xf numFmtId="0" fontId="91" fillId="0" borderId="15" xfId="0" applyFont="1" applyBorder="1" applyAlignment="1" applyProtection="1">
      <alignment horizontal="center" vertical="center"/>
      <protection/>
    </xf>
    <xf numFmtId="183" fontId="8" fillId="0" borderId="16" xfId="47" applyFont="1" applyFill="1" applyBorder="1" applyAlignment="1">
      <alignment/>
    </xf>
    <xf numFmtId="193" fontId="1" fillId="0" borderId="0" xfId="0" applyNumberFormat="1" applyFont="1" applyFill="1" applyBorder="1" applyAlignment="1">
      <alignment horizontal="center" vertical="center"/>
    </xf>
    <xf numFmtId="0" fontId="0" fillId="0" borderId="0" xfId="53" applyFont="1" applyProtection="1">
      <alignment/>
      <protection/>
    </xf>
    <xf numFmtId="0" fontId="1" fillId="0" borderId="17" xfId="53" applyFont="1" applyBorder="1" applyAlignment="1" applyProtection="1">
      <alignment horizontal="center"/>
      <protection/>
    </xf>
    <xf numFmtId="10" fontId="14" fillId="0" borderId="17" xfId="53" applyNumberFormat="1" applyFont="1" applyFill="1" applyBorder="1" applyAlignment="1" applyProtection="1">
      <alignment horizontal="center"/>
      <protection/>
    </xf>
    <xf numFmtId="0" fontId="1" fillId="0" borderId="0" xfId="57" applyFont="1" applyBorder="1" applyAlignment="1" applyProtection="1">
      <alignment horizontal="left" vertical="top"/>
      <protection/>
    </xf>
    <xf numFmtId="0" fontId="15" fillId="0" borderId="0" xfId="53" applyFont="1" applyAlignment="1" applyProtection="1">
      <alignment/>
      <protection/>
    </xf>
    <xf numFmtId="0" fontId="1" fillId="0" borderId="0" xfId="53" applyFont="1" applyProtection="1">
      <alignment/>
      <protection/>
    </xf>
    <xf numFmtId="0" fontId="1" fillId="0" borderId="17" xfId="53" applyFont="1" applyFill="1" applyBorder="1" applyAlignment="1" applyProtection="1">
      <alignment horizontal="center" vertical="center" wrapText="1"/>
      <protection/>
    </xf>
    <xf numFmtId="0" fontId="6" fillId="0" borderId="17" xfId="53" applyFont="1" applyFill="1" applyBorder="1" applyAlignment="1" applyProtection="1">
      <alignment horizontal="center" vertical="center"/>
      <protection/>
    </xf>
    <xf numFmtId="0" fontId="1" fillId="0" borderId="17" xfId="53" applyFont="1" applyFill="1" applyBorder="1" applyAlignment="1" applyProtection="1">
      <alignment horizontal="center" vertical="center"/>
      <protection/>
    </xf>
    <xf numFmtId="0" fontId="11" fillId="0" borderId="17" xfId="53" applyFont="1" applyBorder="1" applyAlignment="1" applyProtection="1">
      <alignment horizontal="center" vertical="center"/>
      <protection/>
    </xf>
    <xf numFmtId="10" fontId="11" fillId="33" borderId="17" xfId="53" applyNumberFormat="1" applyFont="1" applyFill="1" applyBorder="1" applyAlignment="1" applyProtection="1">
      <alignment horizontal="center" vertical="center"/>
      <protection locked="0"/>
    </xf>
    <xf numFmtId="4" fontId="6" fillId="0" borderId="17" xfId="53" applyNumberFormat="1" applyFont="1" applyFill="1" applyBorder="1" applyAlignment="1" applyProtection="1">
      <alignment horizontal="center" vertical="center"/>
      <protection/>
    </xf>
    <xf numFmtId="10" fontId="11" fillId="0" borderId="17" xfId="53" applyNumberFormat="1" applyFont="1" applyFill="1" applyBorder="1" applyAlignment="1" applyProtection="1">
      <alignment horizontal="center" vertical="center"/>
      <protection/>
    </xf>
    <xf numFmtId="10" fontId="11" fillId="0" borderId="17" xfId="53" applyNumberFormat="1" applyFont="1" applyFill="1" applyBorder="1" applyAlignment="1" applyProtection="1">
      <alignment horizontal="center" vertical="center" wrapText="1"/>
      <protection/>
    </xf>
    <xf numFmtId="0" fontId="11" fillId="0" borderId="17" xfId="53" applyFont="1" applyFill="1" applyBorder="1" applyAlignment="1" applyProtection="1">
      <alignment horizontal="center" vertical="center" wrapText="1"/>
      <protection/>
    </xf>
    <xf numFmtId="0" fontId="16" fillId="0" borderId="0" xfId="53" applyFont="1" applyFill="1" applyBorder="1" applyAlignment="1" applyProtection="1">
      <alignment horizontal="center" vertical="center" wrapText="1"/>
      <protection/>
    </xf>
    <xf numFmtId="10" fontId="16" fillId="0" borderId="0" xfId="53" applyNumberFormat="1" applyFont="1" applyFill="1" applyBorder="1" applyAlignment="1" applyProtection="1">
      <alignment horizontal="center" vertical="center"/>
      <protection/>
    </xf>
    <xf numFmtId="4" fontId="6" fillId="0" borderId="0" xfId="53" applyNumberFormat="1" applyFont="1" applyFill="1" applyBorder="1" applyAlignment="1" applyProtection="1">
      <alignment horizontal="center" vertical="center"/>
      <protection/>
    </xf>
    <xf numFmtId="0" fontId="0" fillId="0" borderId="0" xfId="53" applyFont="1" applyBorder="1" applyAlignment="1" applyProtection="1">
      <alignment horizontal="center" vertical="top"/>
      <protection/>
    </xf>
    <xf numFmtId="0" fontId="5" fillId="0" borderId="0" xfId="53" applyFont="1" applyBorder="1" applyAlignment="1" applyProtection="1">
      <alignment horizontal="center" vertical="top"/>
      <protection/>
    </xf>
    <xf numFmtId="0" fontId="0" fillId="0" borderId="0" xfId="53" applyFont="1" applyAlignment="1" applyProtection="1">
      <alignment horizontal="left"/>
      <protection/>
    </xf>
    <xf numFmtId="209" fontId="0" fillId="0" borderId="0" xfId="53" applyNumberFormat="1" applyFont="1" applyAlignment="1" applyProtection="1">
      <alignment/>
      <protection/>
    </xf>
    <xf numFmtId="0" fontId="11" fillId="0" borderId="0" xfId="53" applyFont="1" applyBorder="1" applyProtection="1">
      <alignment/>
      <protection/>
    </xf>
    <xf numFmtId="0" fontId="0" fillId="0" borderId="0" xfId="53" applyFont="1" applyBorder="1" applyProtection="1">
      <alignment/>
      <protection/>
    </xf>
    <xf numFmtId="0" fontId="11" fillId="0" borderId="0" xfId="53" applyFont="1" applyProtection="1">
      <alignment/>
      <protection/>
    </xf>
    <xf numFmtId="0" fontId="11" fillId="0" borderId="0" xfId="53" applyFont="1" applyAlignment="1" applyProtection="1">
      <alignment vertical="top"/>
      <protection/>
    </xf>
    <xf numFmtId="0" fontId="1" fillId="0" borderId="18" xfId="53" applyFont="1" applyBorder="1" applyAlignment="1" applyProtection="1">
      <alignment horizontal="center"/>
      <protection/>
    </xf>
    <xf numFmtId="10" fontId="14" fillId="0" borderId="18" xfId="53" applyNumberFormat="1" applyFont="1" applyFill="1" applyBorder="1" applyAlignment="1" applyProtection="1">
      <alignment horizontal="center"/>
      <protection/>
    </xf>
    <xf numFmtId="0" fontId="1" fillId="0" borderId="0" xfId="53" applyFont="1" applyBorder="1" applyAlignment="1" applyProtection="1">
      <alignment horizontal="center"/>
      <protection/>
    </xf>
    <xf numFmtId="10" fontId="14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Font="1" applyBorder="1" applyProtection="1">
      <alignment/>
      <protection/>
    </xf>
    <xf numFmtId="0" fontId="0" fillId="0" borderId="20" xfId="53" applyFont="1" applyBorder="1" applyProtection="1">
      <alignment/>
      <protection/>
    </xf>
    <xf numFmtId="0" fontId="1" fillId="0" borderId="20" xfId="53" applyFont="1" applyBorder="1" applyAlignment="1" applyProtection="1">
      <alignment horizontal="center"/>
      <protection/>
    </xf>
    <xf numFmtId="0" fontId="0" fillId="0" borderId="20" xfId="53" applyFont="1" applyBorder="1" applyAlignment="1" applyProtection="1">
      <alignment horizontal="center"/>
      <protection/>
    </xf>
    <xf numFmtId="0" fontId="0" fillId="0" borderId="21" xfId="53" applyFont="1" applyBorder="1" applyProtection="1">
      <alignment/>
      <protection/>
    </xf>
    <xf numFmtId="0" fontId="0" fillId="0" borderId="22" xfId="53" applyFont="1" applyBorder="1" applyProtection="1">
      <alignment/>
      <protection/>
    </xf>
    <xf numFmtId="0" fontId="1" fillId="0" borderId="13" xfId="53" applyFont="1" applyBorder="1" applyAlignment="1" applyProtection="1">
      <alignment horizontal="center"/>
      <protection/>
    </xf>
    <xf numFmtId="0" fontId="0" fillId="0" borderId="13" xfId="53" applyFont="1" applyBorder="1" applyProtection="1">
      <alignment/>
      <protection/>
    </xf>
    <xf numFmtId="10" fontId="14" fillId="0" borderId="13" xfId="53" applyNumberFormat="1" applyFont="1" applyFill="1" applyBorder="1" applyAlignment="1" applyProtection="1">
      <alignment horizontal="center"/>
      <protection/>
    </xf>
    <xf numFmtId="0" fontId="0" fillId="0" borderId="23" xfId="53" applyFont="1" applyBorder="1" applyProtection="1">
      <alignment/>
      <protection/>
    </xf>
    <xf numFmtId="40" fontId="0" fillId="0" borderId="0" xfId="72" applyNumberFormat="1" applyFont="1" applyFill="1" applyBorder="1" applyAlignment="1">
      <alignment vertical="center" wrapText="1"/>
    </xf>
    <xf numFmtId="2" fontId="0" fillId="0" borderId="0" xfId="72" applyNumberFormat="1" applyFont="1" applyFill="1" applyBorder="1" applyAlignment="1">
      <alignment vertical="center"/>
    </xf>
    <xf numFmtId="0" fontId="13" fillId="0" borderId="1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0" fillId="34" borderId="0" xfId="53" applyNumberFormat="1" applyFont="1" applyFill="1" applyBorder="1" applyAlignment="1" applyProtection="1">
      <alignment/>
      <protection/>
    </xf>
    <xf numFmtId="0" fontId="91" fillId="0" borderId="25" xfId="0" applyFont="1" applyBorder="1" applyAlignment="1" applyProtection="1">
      <alignment/>
      <protection/>
    </xf>
    <xf numFmtId="10" fontId="1" fillId="0" borderId="26" xfId="59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/>
    </xf>
    <xf numFmtId="44" fontId="1" fillId="0" borderId="28" xfId="49" applyFont="1" applyBorder="1" applyAlignment="1">
      <alignment horizontal="center" vertical="center"/>
    </xf>
    <xf numFmtId="44" fontId="1" fillId="0" borderId="28" xfId="49" applyFont="1" applyBorder="1" applyAlignment="1">
      <alignment vertical="center"/>
    </xf>
    <xf numFmtId="44" fontId="1" fillId="0" borderId="13" xfId="49" applyFont="1" applyBorder="1" applyAlignment="1">
      <alignment horizontal="center" vertical="center"/>
    </xf>
    <xf numFmtId="10" fontId="1" fillId="0" borderId="28" xfId="59" applyNumberFormat="1" applyFont="1" applyBorder="1" applyAlignment="1">
      <alignment horizontal="left" vertical="center" wrapText="1"/>
    </xf>
    <xf numFmtId="0" fontId="0" fillId="0" borderId="29" xfId="0" applyFont="1" applyBorder="1" applyAlignment="1">
      <alignment vertical="center"/>
    </xf>
    <xf numFmtId="0" fontId="0" fillId="34" borderId="17" xfId="0" applyNumberFormat="1" applyFont="1" applyFill="1" applyBorder="1" applyAlignment="1">
      <alignment horizontal="center" vertical="center"/>
    </xf>
    <xf numFmtId="0" fontId="24" fillId="0" borderId="30" xfId="0" applyFont="1" applyBorder="1" applyAlignment="1" applyProtection="1">
      <alignment horizontal="left" vertical="center" wrapText="1"/>
      <protection/>
    </xf>
    <xf numFmtId="0" fontId="24" fillId="0" borderId="3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35" borderId="31" xfId="0" applyFont="1" applyFill="1" applyBorder="1" applyAlignment="1" applyProtection="1">
      <alignment/>
      <protection/>
    </xf>
    <xf numFmtId="0" fontId="23" fillId="0" borderId="17" xfId="0" applyFont="1" applyBorder="1" applyAlignment="1" applyProtection="1">
      <alignment horizontal="center" vertical="center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211" fontId="24" fillId="0" borderId="30" xfId="0" applyNumberFormat="1" applyFont="1" applyBorder="1" applyAlignment="1" applyProtection="1">
      <alignment horizontal="right" vertical="center"/>
      <protection/>
    </xf>
    <xf numFmtId="212" fontId="24" fillId="0" borderId="30" xfId="0" applyNumberFormat="1" applyFont="1" applyBorder="1" applyAlignment="1" applyProtection="1">
      <alignment horizontal="right" vertical="center"/>
      <protection/>
    </xf>
    <xf numFmtId="0" fontId="1" fillId="36" borderId="32" xfId="0" applyFont="1" applyFill="1" applyBorder="1" applyAlignment="1">
      <alignment horizontal="center" vertical="center" wrapText="1"/>
    </xf>
    <xf numFmtId="0" fontId="1" fillId="36" borderId="33" xfId="0" applyFont="1" applyFill="1" applyBorder="1" applyAlignment="1">
      <alignment horizontal="center" vertical="center" wrapText="1"/>
    </xf>
    <xf numFmtId="0" fontId="1" fillId="36" borderId="34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214" fontId="0" fillId="7" borderId="35" xfId="0" applyNumberFormat="1" applyFont="1" applyFill="1" applyBorder="1" applyAlignment="1">
      <alignment horizontal="center" vertical="center" wrapText="1"/>
    </xf>
    <xf numFmtId="214" fontId="0" fillId="7" borderId="36" xfId="0" applyNumberFormat="1" applyFont="1" applyFill="1" applyBorder="1" applyAlignment="1">
      <alignment horizontal="center" vertical="center" wrapText="1"/>
    </xf>
    <xf numFmtId="214" fontId="1" fillId="37" borderId="3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7" borderId="38" xfId="0" applyFont="1" applyFill="1" applyBorder="1" applyAlignment="1">
      <alignment horizontal="center" vertical="center" wrapText="1"/>
    </xf>
    <xf numFmtId="0" fontId="0" fillId="7" borderId="39" xfId="0" applyFont="1" applyFill="1" applyBorder="1" applyAlignment="1">
      <alignment horizontal="center" vertical="center" wrapText="1"/>
    </xf>
    <xf numFmtId="0" fontId="1" fillId="37" borderId="4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214" fontId="0" fillId="7" borderId="41" xfId="0" applyNumberFormat="1" applyFont="1" applyFill="1" applyBorder="1" applyAlignment="1">
      <alignment horizontal="center" vertical="center" wrapText="1"/>
    </xf>
    <xf numFmtId="214" fontId="0" fillId="7" borderId="42" xfId="0" applyNumberFormat="1" applyFont="1" applyFill="1" applyBorder="1" applyAlignment="1">
      <alignment horizontal="center" vertical="center" wrapText="1"/>
    </xf>
    <xf numFmtId="0" fontId="1" fillId="37" borderId="43" xfId="0" applyFont="1" applyFill="1" applyBorder="1" applyAlignment="1">
      <alignment horizontal="center" vertical="center" wrapText="1"/>
    </xf>
    <xf numFmtId="215" fontId="1" fillId="37" borderId="43" xfId="0" applyNumberFormat="1" applyFont="1" applyFill="1" applyBorder="1" applyAlignment="1">
      <alignment horizontal="center" vertical="center" wrapText="1"/>
    </xf>
    <xf numFmtId="214" fontId="0" fillId="0" borderId="44" xfId="0" applyNumberFormat="1" applyFont="1" applyFill="1" applyBorder="1" applyAlignment="1">
      <alignment horizontal="center" vertical="center" wrapText="1"/>
    </xf>
    <xf numFmtId="214" fontId="0" fillId="0" borderId="45" xfId="0" applyNumberFormat="1" applyFont="1" applyFill="1" applyBorder="1" applyAlignment="1">
      <alignment horizontal="center" vertical="center" wrapText="1"/>
    </xf>
    <xf numFmtId="214" fontId="1" fillId="37" borderId="46" xfId="0" applyNumberFormat="1" applyFont="1" applyFill="1" applyBorder="1" applyAlignment="1">
      <alignment horizontal="center" vertical="center" wrapText="1"/>
    </xf>
    <xf numFmtId="0" fontId="27" fillId="37" borderId="47" xfId="0" applyFont="1" applyFill="1" applyBorder="1" applyAlignment="1">
      <alignment horizontal="center" vertical="center" wrapText="1"/>
    </xf>
    <xf numFmtId="214" fontId="1" fillId="37" borderId="48" xfId="0" applyNumberFormat="1" applyFont="1" applyFill="1" applyBorder="1" applyAlignment="1">
      <alignment horizontal="center" vertical="center" wrapText="1"/>
    </xf>
    <xf numFmtId="0" fontId="27" fillId="37" borderId="49" xfId="0" applyFont="1" applyFill="1" applyBorder="1" applyAlignment="1">
      <alignment horizontal="center" vertical="center" wrapText="1"/>
    </xf>
    <xf numFmtId="9" fontId="0" fillId="7" borderId="41" xfId="0" applyNumberFormat="1" applyFont="1" applyFill="1" applyBorder="1" applyAlignment="1">
      <alignment horizontal="center" vertical="center" wrapText="1"/>
    </xf>
    <xf numFmtId="9" fontId="0" fillId="7" borderId="42" xfId="0" applyNumberFormat="1" applyFont="1" applyFill="1" applyBorder="1" applyAlignment="1">
      <alignment horizontal="center" vertical="center" wrapText="1"/>
    </xf>
    <xf numFmtId="214" fontId="1" fillId="37" borderId="43" xfId="0" applyNumberFormat="1" applyFont="1" applyFill="1" applyBorder="1" applyAlignment="1">
      <alignment horizontal="center" vertical="center" wrapText="1"/>
    </xf>
    <xf numFmtId="214" fontId="0" fillId="0" borderId="38" xfId="0" applyNumberFormat="1" applyFont="1" applyFill="1" applyBorder="1" applyAlignment="1">
      <alignment horizontal="center" vertical="center" wrapText="1"/>
    </xf>
    <xf numFmtId="214" fontId="0" fillId="0" borderId="39" xfId="0" applyNumberFormat="1" applyFont="1" applyFill="1" applyBorder="1" applyAlignment="1">
      <alignment horizontal="center" vertical="center" wrapText="1"/>
    </xf>
    <xf numFmtId="214" fontId="0" fillId="0" borderId="50" xfId="0" applyNumberFormat="1" applyFont="1" applyFill="1" applyBorder="1" applyAlignment="1">
      <alignment horizontal="center" vertical="center" wrapText="1"/>
    </xf>
    <xf numFmtId="214" fontId="0" fillId="0" borderId="51" xfId="0" applyNumberFormat="1" applyFont="1" applyFill="1" applyBorder="1" applyAlignment="1">
      <alignment horizontal="center" vertical="center" wrapText="1"/>
    </xf>
    <xf numFmtId="0" fontId="27" fillId="37" borderId="52" xfId="0" applyFont="1" applyFill="1" applyBorder="1" applyAlignment="1">
      <alignment horizontal="center" vertical="center" wrapText="1"/>
    </xf>
    <xf numFmtId="0" fontId="27" fillId="37" borderId="53" xfId="0" applyFont="1" applyFill="1" applyBorder="1" applyAlignment="1">
      <alignment horizontal="center" vertical="center" wrapText="1"/>
    </xf>
    <xf numFmtId="214" fontId="0" fillId="0" borderId="54" xfId="0" applyNumberFormat="1" applyFont="1" applyFill="1" applyBorder="1" applyAlignment="1">
      <alignment horizontal="center" vertical="center" wrapText="1"/>
    </xf>
    <xf numFmtId="214" fontId="0" fillId="0" borderId="55" xfId="0" applyNumberFormat="1" applyFont="1" applyFill="1" applyBorder="1" applyAlignment="1">
      <alignment horizontal="center" vertical="center" wrapText="1"/>
    </xf>
    <xf numFmtId="0" fontId="1" fillId="37" borderId="56" xfId="0" applyFont="1" applyFill="1" applyBorder="1" applyAlignment="1">
      <alignment horizontal="center" vertical="center" wrapText="1"/>
    </xf>
    <xf numFmtId="0" fontId="27" fillId="37" borderId="57" xfId="0" applyFont="1" applyFill="1" applyBorder="1" applyAlignment="1">
      <alignment horizontal="center" vertical="center" wrapText="1"/>
    </xf>
    <xf numFmtId="214" fontId="0" fillId="7" borderId="38" xfId="0" applyNumberFormat="1" applyFont="1" applyFill="1" applyBorder="1" applyAlignment="1">
      <alignment horizontal="center" vertical="center" wrapText="1"/>
    </xf>
    <xf numFmtId="214" fontId="0" fillId="7" borderId="39" xfId="0" applyNumberFormat="1" applyFont="1" applyFill="1" applyBorder="1" applyAlignment="1">
      <alignment horizontal="center" vertical="center" wrapText="1"/>
    </xf>
    <xf numFmtId="214" fontId="1" fillId="37" borderId="40" xfId="0" applyNumberFormat="1" applyFont="1" applyFill="1" applyBorder="1" applyAlignment="1">
      <alignment horizontal="center" vertical="center" wrapText="1"/>
    </xf>
    <xf numFmtId="214" fontId="0" fillId="0" borderId="41" xfId="0" applyNumberFormat="1" applyFont="1" applyFill="1" applyBorder="1" applyAlignment="1">
      <alignment horizontal="center" vertical="center" wrapText="1"/>
    </xf>
    <xf numFmtId="214" fontId="0" fillId="0" borderId="42" xfId="0" applyNumberFormat="1" applyFont="1" applyFill="1" applyBorder="1" applyAlignment="1">
      <alignment horizontal="center" vertical="center" wrapText="1"/>
    </xf>
    <xf numFmtId="214" fontId="0" fillId="0" borderId="58" xfId="0" applyNumberFormat="1" applyFont="1" applyFill="1" applyBorder="1" applyAlignment="1">
      <alignment horizontal="center" vertical="center" wrapText="1"/>
    </xf>
    <xf numFmtId="214" fontId="0" fillId="0" borderId="59" xfId="0" applyNumberFormat="1" applyFont="1" applyFill="1" applyBorder="1" applyAlignment="1">
      <alignment horizontal="center" vertical="center" wrapText="1"/>
    </xf>
    <xf numFmtId="0" fontId="1" fillId="37" borderId="60" xfId="0" applyFont="1" applyFill="1" applyBorder="1" applyAlignment="1">
      <alignment horizontal="center" vertical="center" wrapText="1"/>
    </xf>
    <xf numFmtId="193" fontId="0" fillId="0" borderId="44" xfId="0" applyNumberFormat="1" applyFont="1" applyFill="1" applyBorder="1" applyAlignment="1">
      <alignment horizontal="center" vertical="center" wrapText="1"/>
    </xf>
    <xf numFmtId="193" fontId="0" fillId="0" borderId="45" xfId="0" applyNumberFormat="1" applyFont="1" applyFill="1" applyBorder="1" applyAlignment="1">
      <alignment horizontal="center" vertical="center" wrapText="1"/>
    </xf>
    <xf numFmtId="0" fontId="27" fillId="37" borderId="61" xfId="0" applyFont="1" applyFill="1" applyBorder="1" applyAlignment="1">
      <alignment horizontal="center" vertical="center" wrapText="1"/>
    </xf>
    <xf numFmtId="214" fontId="1" fillId="37" borderId="56" xfId="0" applyNumberFormat="1" applyFont="1" applyFill="1" applyBorder="1" applyAlignment="1">
      <alignment horizontal="center" vertical="center" wrapText="1"/>
    </xf>
    <xf numFmtId="214" fontId="0" fillId="0" borderId="62" xfId="0" applyNumberFormat="1" applyFont="1" applyFill="1" applyBorder="1" applyAlignment="1">
      <alignment horizontal="center" vertical="center" wrapText="1"/>
    </xf>
    <xf numFmtId="214" fontId="0" fillId="0" borderId="63" xfId="0" applyNumberFormat="1" applyFont="1" applyFill="1" applyBorder="1" applyAlignment="1">
      <alignment horizontal="center" vertical="center" wrapText="1"/>
    </xf>
    <xf numFmtId="39" fontId="92" fillId="0" borderId="64" xfId="0" applyNumberFormat="1" applyFont="1" applyFill="1" applyBorder="1" applyAlignment="1">
      <alignment vertical="center" wrapText="1"/>
    </xf>
    <xf numFmtId="0" fontId="1" fillId="37" borderId="65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36" borderId="66" xfId="0" applyFont="1" applyFill="1" applyBorder="1" applyAlignment="1">
      <alignment horizontal="center" vertical="center" wrapText="1"/>
    </xf>
    <xf numFmtId="0" fontId="1" fillId="36" borderId="67" xfId="0" applyFont="1" applyFill="1" applyBorder="1" applyAlignment="1">
      <alignment horizontal="center" vertical="center" wrapText="1"/>
    </xf>
    <xf numFmtId="4" fontId="0" fillId="7" borderId="68" xfId="0" applyNumberFormat="1" applyFont="1" applyFill="1" applyBorder="1" applyAlignment="1">
      <alignment horizontal="center" vertical="center" wrapText="1"/>
    </xf>
    <xf numFmtId="4" fontId="0" fillId="7" borderId="69" xfId="0" applyNumberFormat="1" applyFont="1" applyFill="1" applyBorder="1" applyAlignment="1">
      <alignment horizontal="center" vertical="center" wrapText="1"/>
    </xf>
    <xf numFmtId="4" fontId="1" fillId="37" borderId="70" xfId="0" applyNumberFormat="1" applyFont="1" applyFill="1" applyBorder="1" applyAlignment="1">
      <alignment horizontal="center" vertical="center" wrapText="1"/>
    </xf>
    <xf numFmtId="4" fontId="0" fillId="7" borderId="58" xfId="0" applyNumberFormat="1" applyFont="1" applyFill="1" applyBorder="1" applyAlignment="1">
      <alignment horizontal="center" vertical="center" wrapText="1"/>
    </xf>
    <xf numFmtId="4" fontId="0" fillId="7" borderId="71" xfId="0" applyNumberFormat="1" applyFont="1" applyFill="1" applyBorder="1" applyAlignment="1">
      <alignment horizontal="center" vertical="center" wrapText="1"/>
    </xf>
    <xf numFmtId="4" fontId="1" fillId="37" borderId="72" xfId="0" applyNumberFormat="1" applyFont="1" applyFill="1" applyBorder="1" applyAlignment="1">
      <alignment horizontal="center" vertical="center" wrapText="1"/>
    </xf>
    <xf numFmtId="4" fontId="0" fillId="7" borderId="38" xfId="0" applyNumberFormat="1" applyFont="1" applyFill="1" applyBorder="1" applyAlignment="1">
      <alignment horizontal="center" vertical="center" wrapText="1"/>
    </xf>
    <xf numFmtId="4" fontId="0" fillId="7" borderId="73" xfId="0" applyNumberFormat="1" applyFont="1" applyFill="1" applyBorder="1" applyAlignment="1">
      <alignment horizontal="center" vertical="center" wrapText="1"/>
    </xf>
    <xf numFmtId="4" fontId="1" fillId="37" borderId="74" xfId="0" applyNumberFormat="1" applyFont="1" applyFill="1" applyBorder="1" applyAlignment="1">
      <alignment horizontal="center" vertical="center" wrapText="1"/>
    </xf>
    <xf numFmtId="186" fontId="0" fillId="7" borderId="41" xfId="0" applyNumberFormat="1" applyFont="1" applyFill="1" applyBorder="1" applyAlignment="1">
      <alignment horizontal="center" vertical="center" wrapText="1"/>
    </xf>
    <xf numFmtId="186" fontId="0" fillId="7" borderId="42" xfId="0" applyNumberFormat="1" applyFont="1" applyFill="1" applyBorder="1" applyAlignment="1">
      <alignment horizontal="center" vertical="center" wrapText="1"/>
    </xf>
    <xf numFmtId="4" fontId="0" fillId="0" borderId="38" xfId="0" applyNumberFormat="1" applyFont="1" applyFill="1" applyBorder="1" applyAlignment="1">
      <alignment horizontal="center" vertical="center" wrapText="1"/>
    </xf>
    <xf numFmtId="4" fontId="0" fillId="0" borderId="39" xfId="0" applyNumberFormat="1" applyFont="1" applyFill="1" applyBorder="1" applyAlignment="1">
      <alignment horizontal="center" vertical="center" wrapText="1"/>
    </xf>
    <xf numFmtId="4" fontId="0" fillId="0" borderId="44" xfId="0" applyNumberFormat="1" applyFont="1" applyFill="1" applyBorder="1" applyAlignment="1">
      <alignment horizontal="center" vertical="center" wrapText="1"/>
    </xf>
    <xf numFmtId="4" fontId="0" fillId="0" borderId="45" xfId="0" applyNumberFormat="1" applyFont="1" applyFill="1" applyBorder="1" applyAlignment="1">
      <alignment horizontal="center" vertical="center" wrapText="1"/>
    </xf>
    <xf numFmtId="39" fontId="92" fillId="7" borderId="75" xfId="0" applyNumberFormat="1" applyFont="1" applyFill="1" applyBorder="1" applyAlignment="1">
      <alignment vertical="center" wrapText="1"/>
    </xf>
    <xf numFmtId="39" fontId="92" fillId="7" borderId="64" xfId="0" applyNumberFormat="1" applyFont="1" applyFill="1" applyBorder="1" applyAlignment="1">
      <alignment vertical="center" wrapText="1"/>
    </xf>
    <xf numFmtId="0" fontId="1" fillId="37" borderId="76" xfId="0" applyFont="1" applyFill="1" applyBorder="1" applyAlignment="1">
      <alignment horizontal="center" vertical="center" wrapText="1"/>
    </xf>
    <xf numFmtId="193" fontId="28" fillId="36" borderId="33" xfId="56" applyNumberFormat="1" applyFont="1" applyFill="1" applyBorder="1" applyAlignment="1">
      <alignment horizontal="center" vertical="center" wrapText="1"/>
      <protection/>
    </xf>
    <xf numFmtId="193" fontId="1" fillId="36" borderId="67" xfId="56" applyNumberFormat="1" applyFont="1" applyFill="1" applyBorder="1" applyAlignment="1">
      <alignment horizontal="center" vertical="center" wrapText="1"/>
      <protection/>
    </xf>
    <xf numFmtId="193" fontId="27" fillId="0" borderId="0" xfId="56" applyNumberFormat="1" applyFont="1" applyFill="1" applyAlignment="1">
      <alignment horizontal="center" vertical="center" wrapText="1"/>
      <protection/>
    </xf>
    <xf numFmtId="193" fontId="27" fillId="0" borderId="0" xfId="56" applyNumberFormat="1" applyFont="1" applyAlignment="1">
      <alignment horizontal="center" vertical="center" wrapText="1"/>
      <protection/>
    </xf>
    <xf numFmtId="193" fontId="27" fillId="37" borderId="77" xfId="56" applyNumberFormat="1" applyFont="1" applyFill="1" applyBorder="1" applyAlignment="1">
      <alignment horizontal="center" vertical="center" wrapText="1"/>
      <protection/>
    </xf>
    <xf numFmtId="193" fontId="0" fillId="0" borderId="0" xfId="56" applyNumberFormat="1" applyFont="1" applyFill="1" applyAlignment="1">
      <alignment horizontal="center" vertical="center" wrapText="1"/>
      <protection/>
    </xf>
    <xf numFmtId="193" fontId="0" fillId="0" borderId="0" xfId="56" applyNumberFormat="1" applyFont="1" applyAlignment="1">
      <alignment horizontal="center" vertical="center" wrapText="1"/>
      <protection/>
    </xf>
    <xf numFmtId="193" fontId="27" fillId="37" borderId="78" xfId="56" applyNumberFormat="1" applyFont="1" applyFill="1" applyBorder="1" applyAlignment="1">
      <alignment vertical="center" wrapText="1"/>
      <protection/>
    </xf>
    <xf numFmtId="193" fontId="27" fillId="37" borderId="79" xfId="56" applyNumberFormat="1" applyFont="1" applyFill="1" applyBorder="1" applyAlignment="1">
      <alignment horizontal="center" vertical="center" wrapText="1"/>
      <protection/>
    </xf>
    <xf numFmtId="215" fontId="10" fillId="0" borderId="44" xfId="56" applyNumberFormat="1" applyFont="1" applyFill="1" applyBorder="1" applyAlignment="1">
      <alignment horizontal="center" vertical="center" wrapText="1"/>
      <protection/>
    </xf>
    <xf numFmtId="215" fontId="10" fillId="0" borderId="45" xfId="56" applyNumberFormat="1" applyFont="1" applyFill="1" applyBorder="1" applyAlignment="1">
      <alignment horizontal="center" vertical="center" wrapText="1"/>
      <protection/>
    </xf>
    <xf numFmtId="215" fontId="1" fillId="37" borderId="80" xfId="56" applyNumberFormat="1" applyFont="1" applyFill="1" applyBorder="1" applyAlignment="1">
      <alignment horizontal="center" vertical="center" wrapText="1"/>
      <protection/>
    </xf>
    <xf numFmtId="215" fontId="1" fillId="37" borderId="72" xfId="56" applyNumberFormat="1" applyFont="1" applyFill="1" applyBorder="1" applyAlignment="1">
      <alignment horizontal="center" vertical="center" wrapText="1"/>
      <protection/>
    </xf>
    <xf numFmtId="215" fontId="1" fillId="37" borderId="74" xfId="56" applyNumberFormat="1" applyFont="1" applyFill="1" applyBorder="1" applyAlignment="1">
      <alignment horizontal="center" vertical="center" wrapText="1"/>
      <protection/>
    </xf>
    <xf numFmtId="193" fontId="27" fillId="37" borderId="24" xfId="56" applyNumberFormat="1" applyFont="1" applyFill="1" applyBorder="1" applyAlignment="1">
      <alignment horizontal="center" vertical="center" wrapText="1"/>
      <protection/>
    </xf>
    <xf numFmtId="214" fontId="27" fillId="37" borderId="47" xfId="56" applyNumberFormat="1" applyFont="1" applyFill="1" applyBorder="1" applyAlignment="1">
      <alignment horizontal="center" vertical="center" wrapText="1"/>
      <protection/>
    </xf>
    <xf numFmtId="193" fontId="27" fillId="37" borderId="30" xfId="56" applyNumberFormat="1" applyFont="1" applyFill="1" applyBorder="1" applyAlignment="1">
      <alignment vertical="center" wrapText="1"/>
      <protection/>
    </xf>
    <xf numFmtId="193" fontId="27" fillId="37" borderId="79" xfId="56" applyNumberFormat="1" applyFont="1" applyFill="1" applyBorder="1" applyAlignment="1">
      <alignment vertical="center" wrapText="1"/>
      <protection/>
    </xf>
    <xf numFmtId="193" fontId="27" fillId="37" borderId="18" xfId="56" applyNumberFormat="1" applyFont="1" applyFill="1" applyBorder="1" applyAlignment="1">
      <alignment horizontal="center" vertical="center" wrapText="1"/>
      <protection/>
    </xf>
    <xf numFmtId="214" fontId="27" fillId="37" borderId="53" xfId="56" applyNumberFormat="1" applyFont="1" applyFill="1" applyBorder="1" applyAlignment="1">
      <alignment horizontal="center" vertical="center" wrapText="1"/>
      <protection/>
    </xf>
    <xf numFmtId="193" fontId="27" fillId="37" borderId="81" xfId="56" applyNumberFormat="1" applyFont="1" applyFill="1" applyBorder="1" applyAlignment="1">
      <alignment vertical="center" wrapText="1"/>
      <protection/>
    </xf>
    <xf numFmtId="214" fontId="10" fillId="0" borderId="44" xfId="56" applyNumberFormat="1" applyFont="1" applyFill="1" applyBorder="1" applyAlignment="1">
      <alignment horizontal="center" vertical="center" wrapText="1"/>
      <protection/>
    </xf>
    <xf numFmtId="214" fontId="10" fillId="0" borderId="45" xfId="56" applyNumberFormat="1" applyFont="1" applyFill="1" applyBorder="1" applyAlignment="1">
      <alignment horizontal="center" vertical="center" wrapText="1"/>
      <protection/>
    </xf>
    <xf numFmtId="4" fontId="1" fillId="37" borderId="46" xfId="56" applyNumberFormat="1" applyFont="1" applyFill="1" applyBorder="1" applyAlignment="1">
      <alignment horizontal="center" vertical="center" wrapText="1"/>
      <protection/>
    </xf>
    <xf numFmtId="214" fontId="27" fillId="37" borderId="82" xfId="56" applyNumberFormat="1" applyFont="1" applyFill="1" applyBorder="1" applyAlignment="1">
      <alignment horizontal="center" vertical="center" wrapText="1"/>
      <protection/>
    </xf>
    <xf numFmtId="193" fontId="27" fillId="37" borderId="83" xfId="56" applyNumberFormat="1" applyFont="1" applyFill="1" applyBorder="1" applyAlignment="1">
      <alignment vertical="center" wrapText="1"/>
      <protection/>
    </xf>
    <xf numFmtId="193" fontId="27" fillId="37" borderId="17" xfId="56" applyNumberFormat="1" applyFont="1" applyFill="1" applyBorder="1" applyAlignment="1">
      <alignment horizontal="center" vertical="center" wrapText="1"/>
      <protection/>
    </xf>
    <xf numFmtId="214" fontId="27" fillId="37" borderId="49" xfId="56" applyNumberFormat="1" applyFont="1" applyFill="1" applyBorder="1" applyAlignment="1">
      <alignment horizontal="center" vertical="center" wrapText="1"/>
      <protection/>
    </xf>
    <xf numFmtId="214" fontId="27" fillId="37" borderId="84" xfId="56" applyNumberFormat="1" applyFont="1" applyFill="1" applyBorder="1" applyAlignment="1">
      <alignment horizontal="center" vertical="center" wrapText="1"/>
      <protection/>
    </xf>
    <xf numFmtId="214" fontId="1" fillId="37" borderId="46" xfId="56" applyNumberFormat="1" applyFont="1" applyFill="1" applyBorder="1" applyAlignment="1">
      <alignment horizontal="center" vertical="center" wrapText="1"/>
      <protection/>
    </xf>
    <xf numFmtId="193" fontId="0" fillId="0" borderId="85" xfId="0" applyNumberFormat="1" applyFont="1" applyFill="1" applyBorder="1" applyAlignment="1">
      <alignment horizontal="center" vertical="center" wrapText="1"/>
    </xf>
    <xf numFmtId="215" fontId="1" fillId="37" borderId="65" xfId="56" applyNumberFormat="1" applyFont="1" applyFill="1" applyBorder="1" applyAlignment="1">
      <alignment horizontal="center" vertical="center" wrapText="1"/>
      <protection/>
    </xf>
    <xf numFmtId="193" fontId="0" fillId="0" borderId="86" xfId="56" applyNumberFormat="1" applyFont="1" applyFill="1" applyBorder="1" applyAlignment="1">
      <alignment horizontal="center" vertical="center" wrapText="1"/>
      <protection/>
    </xf>
    <xf numFmtId="193" fontId="0" fillId="0" borderId="0" xfId="56" applyNumberFormat="1" applyFont="1" applyFill="1" applyBorder="1" applyAlignment="1">
      <alignment horizontal="center" vertical="center" wrapText="1"/>
      <protection/>
    </xf>
    <xf numFmtId="193" fontId="0" fillId="0" borderId="0" xfId="56" applyNumberFormat="1" applyFont="1" applyBorder="1" applyAlignment="1">
      <alignment horizontal="center" vertical="center" wrapText="1"/>
      <protection/>
    </xf>
    <xf numFmtId="212" fontId="0" fillId="0" borderId="0" xfId="0" applyNumberFormat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87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25" fillId="0" borderId="27" xfId="0" applyFont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5" fillId="0" borderId="23" xfId="0" applyFont="1" applyBorder="1" applyAlignment="1" applyProtection="1">
      <alignment/>
      <protection/>
    </xf>
    <xf numFmtId="0" fontId="30" fillId="0" borderId="21" xfId="0" applyFont="1" applyBorder="1" applyAlignment="1" applyProtection="1">
      <alignment horizontal="right" vertical="center"/>
      <protection/>
    </xf>
    <xf numFmtId="0" fontId="31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27" xfId="0" applyFont="1" applyBorder="1" applyAlignment="1" applyProtection="1">
      <alignment/>
      <protection/>
    </xf>
    <xf numFmtId="0" fontId="13" fillId="0" borderId="17" xfId="0" applyFont="1" applyFill="1" applyBorder="1" applyAlignment="1">
      <alignment vertical="center"/>
    </xf>
    <xf numFmtId="0" fontId="13" fillId="0" borderId="17" xfId="0" applyFont="1" applyBorder="1" applyAlignment="1">
      <alignment vertical="center"/>
    </xf>
    <xf numFmtId="10" fontId="1" fillId="0" borderId="17" xfId="59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0" fontId="13" fillId="0" borderId="24" xfId="0" applyFont="1" applyBorder="1" applyAlignment="1">
      <alignment vertical="center"/>
    </xf>
    <xf numFmtId="10" fontId="1" fillId="0" borderId="24" xfId="59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13" fillId="0" borderId="26" xfId="0" applyFont="1" applyFill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4" fontId="0" fillId="0" borderId="0" xfId="0" applyNumberFormat="1" applyFont="1" applyAlignment="1">
      <alignment horizontal="center" vertical="center" wrapText="1"/>
    </xf>
    <xf numFmtId="0" fontId="20" fillId="34" borderId="0" xfId="0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vertical="center"/>
    </xf>
    <xf numFmtId="0" fontId="1" fillId="34" borderId="0" xfId="0" applyFont="1" applyFill="1" applyBorder="1" applyAlignment="1">
      <alignment horizontal="center" vertical="center" wrapText="1"/>
    </xf>
    <xf numFmtId="10" fontId="1" fillId="34" borderId="0" xfId="59" applyNumberFormat="1" applyFont="1" applyFill="1" applyBorder="1" applyAlignment="1">
      <alignment horizontal="left" vertical="center" wrapText="1"/>
    </xf>
    <xf numFmtId="44" fontId="1" fillId="34" borderId="0" xfId="49" applyFont="1" applyFill="1" applyBorder="1" applyAlignment="1">
      <alignment horizontal="center" vertical="center"/>
    </xf>
    <xf numFmtId="193" fontId="1" fillId="34" borderId="0" xfId="0" applyNumberFormat="1" applyFont="1" applyFill="1" applyBorder="1" applyAlignment="1">
      <alignment horizontal="center" vertical="center"/>
    </xf>
    <xf numFmtId="183" fontId="0" fillId="34" borderId="0" xfId="47" applyFont="1" applyFill="1" applyBorder="1" applyAlignment="1">
      <alignment vertical="center" wrapText="1"/>
    </xf>
    <xf numFmtId="2" fontId="0" fillId="34" borderId="0" xfId="47" applyNumberFormat="1" applyFont="1" applyFill="1" applyBorder="1" applyAlignment="1">
      <alignment horizontal="right" vertical="center" wrapText="1"/>
    </xf>
    <xf numFmtId="2" fontId="1" fillId="34" borderId="0" xfId="47" applyNumberFormat="1" applyFont="1" applyFill="1" applyBorder="1" applyAlignment="1">
      <alignment horizontal="right" vertical="center" wrapText="1"/>
    </xf>
    <xf numFmtId="2" fontId="0" fillId="34" borderId="0" xfId="47" applyNumberFormat="1" applyFont="1" applyFill="1" applyBorder="1" applyAlignment="1">
      <alignment horizontal="right" vertical="center"/>
    </xf>
    <xf numFmtId="2" fontId="1" fillId="34" borderId="0" xfId="72" applyNumberFormat="1" applyFont="1" applyFill="1" applyBorder="1" applyAlignment="1">
      <alignment horizontal="right" vertical="center" wrapText="1"/>
    </xf>
    <xf numFmtId="183" fontId="6" fillId="34" borderId="0" xfId="47" applyFont="1" applyFill="1" applyBorder="1" applyAlignment="1">
      <alignment horizontal="justify" vertical="center" wrapText="1"/>
    </xf>
    <xf numFmtId="0" fontId="9" fillId="34" borderId="0" xfId="0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left" vertical="center"/>
    </xf>
    <xf numFmtId="183" fontId="13" fillId="34" borderId="0" xfId="0" applyNumberFormat="1" applyFont="1" applyFill="1" applyBorder="1" applyAlignment="1">
      <alignment horizontal="center" vertical="center"/>
    </xf>
    <xf numFmtId="4" fontId="0" fillId="34" borderId="17" xfId="72" applyNumberFormat="1" applyFont="1" applyFill="1" applyBorder="1" applyAlignment="1">
      <alignment horizontal="right" vertical="center" wrapText="1"/>
    </xf>
    <xf numFmtId="215" fontId="0" fillId="7" borderId="41" xfId="0" applyNumberFormat="1" applyFont="1" applyFill="1" applyBorder="1" applyAlignment="1">
      <alignment horizontal="center" vertical="center" wrapText="1"/>
    </xf>
    <xf numFmtId="215" fontId="0" fillId="7" borderId="42" xfId="0" applyNumberFormat="1" applyFont="1" applyFill="1" applyBorder="1" applyAlignment="1">
      <alignment horizontal="center" vertical="center" wrapText="1"/>
    </xf>
    <xf numFmtId="214" fontId="0" fillId="7" borderId="58" xfId="0" applyNumberFormat="1" applyFont="1" applyFill="1" applyBorder="1" applyAlignment="1">
      <alignment horizontal="center" vertical="center" wrapText="1"/>
    </xf>
    <xf numFmtId="214" fontId="0" fillId="7" borderId="59" xfId="0" applyNumberFormat="1" applyFont="1" applyFill="1" applyBorder="1" applyAlignment="1">
      <alignment horizontal="center" vertical="center" wrapText="1"/>
    </xf>
    <xf numFmtId="215" fontId="10" fillId="7" borderId="88" xfId="56" applyNumberFormat="1" applyFont="1" applyFill="1" applyBorder="1" applyAlignment="1">
      <alignment horizontal="center" vertical="center" wrapText="1"/>
      <protection/>
    </xf>
    <xf numFmtId="215" fontId="10" fillId="7" borderId="59" xfId="56" applyNumberFormat="1" applyFont="1" applyFill="1" applyBorder="1" applyAlignment="1">
      <alignment horizontal="center" vertical="center" wrapText="1"/>
      <protection/>
    </xf>
    <xf numFmtId="215" fontId="10" fillId="7" borderId="89" xfId="56" applyNumberFormat="1" applyFont="1" applyFill="1" applyBorder="1" applyAlignment="1">
      <alignment horizontal="center" vertical="center" wrapText="1"/>
      <protection/>
    </xf>
    <xf numFmtId="215" fontId="10" fillId="7" borderId="39" xfId="56" applyNumberFormat="1" applyFont="1" applyFill="1" applyBorder="1" applyAlignment="1">
      <alignment horizontal="center" vertical="center" wrapText="1"/>
      <protection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vertical="center" wrapText="1"/>
    </xf>
    <xf numFmtId="0" fontId="0" fillId="0" borderId="20" xfId="0" applyFont="1" applyBorder="1" applyAlignment="1">
      <alignment vertical="center"/>
    </xf>
    <xf numFmtId="44" fontId="1" fillId="0" borderId="28" xfId="49" applyFont="1" applyBorder="1" applyAlignment="1">
      <alignment horizontal="right" vertical="center"/>
    </xf>
    <xf numFmtId="44" fontId="0" fillId="0" borderId="0" xfId="0" applyNumberFormat="1" applyFont="1" applyBorder="1" applyAlignment="1">
      <alignment vertical="center"/>
    </xf>
    <xf numFmtId="177" fontId="0" fillId="0" borderId="0" xfId="72" applyFont="1" applyFill="1" applyBorder="1" applyAlignment="1">
      <alignment vertical="center"/>
    </xf>
    <xf numFmtId="183" fontId="0" fillId="34" borderId="0" xfId="47" applyFont="1" applyFill="1" applyBorder="1" applyAlignment="1">
      <alignment vertical="center"/>
    </xf>
    <xf numFmtId="183" fontId="0" fillId="34" borderId="0" xfId="0" applyNumberFormat="1" applyFont="1" applyFill="1" applyBorder="1" applyAlignment="1">
      <alignment vertical="center"/>
    </xf>
    <xf numFmtId="183" fontId="0" fillId="0" borderId="0" xfId="47" applyFont="1" applyFill="1" applyBorder="1" applyAlignment="1">
      <alignment vertical="center"/>
    </xf>
    <xf numFmtId="44" fontId="0" fillId="0" borderId="0" xfId="0" applyNumberFormat="1" applyFont="1" applyFill="1" applyBorder="1" applyAlignment="1">
      <alignment vertical="center"/>
    </xf>
    <xf numFmtId="0" fontId="1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2" fontId="0" fillId="34" borderId="0" xfId="0" applyNumberFormat="1" applyFont="1" applyFill="1" applyBorder="1" applyAlignment="1">
      <alignment vertical="center"/>
    </xf>
    <xf numFmtId="2" fontId="1" fillId="34" borderId="17" xfId="72" applyNumberFormat="1" applyFont="1" applyFill="1" applyBorder="1" applyAlignment="1">
      <alignment horizontal="right" vertical="center"/>
    </xf>
    <xf numFmtId="2" fontId="1" fillId="34" borderId="0" xfId="72" applyNumberFormat="1" applyFont="1" applyFill="1" applyBorder="1" applyAlignment="1">
      <alignment horizontal="right" vertical="center"/>
    </xf>
    <xf numFmtId="177" fontId="0" fillId="34" borderId="0" xfId="72" applyFont="1" applyFill="1" applyBorder="1" applyAlignment="1">
      <alignment vertical="center"/>
    </xf>
    <xf numFmtId="10" fontId="0" fillId="34" borderId="0" xfId="59" applyNumberFormat="1" applyFont="1" applyFill="1" applyBorder="1" applyAlignment="1">
      <alignment vertical="center"/>
    </xf>
    <xf numFmtId="0" fontId="0" fillId="34" borderId="18" xfId="0" applyNumberFormat="1" applyFont="1" applyFill="1" applyBorder="1" applyAlignment="1">
      <alignment horizontal="center" vertical="center" wrapText="1"/>
    </xf>
    <xf numFmtId="4" fontId="0" fillId="34" borderId="18" xfId="72" applyNumberFormat="1" applyFont="1" applyFill="1" applyBorder="1" applyAlignment="1">
      <alignment horizontal="right" vertical="center" wrapText="1"/>
    </xf>
    <xf numFmtId="0" fontId="0" fillId="34" borderId="17" xfId="0" applyNumberFormat="1" applyFont="1" applyFill="1" applyBorder="1" applyAlignment="1">
      <alignment horizontal="left" vertical="center" wrapText="1"/>
    </xf>
    <xf numFmtId="0" fontId="1" fillId="34" borderId="90" xfId="0" applyNumberFormat="1" applyFont="1" applyFill="1" applyBorder="1" applyAlignment="1">
      <alignment horizontal="center" vertical="center"/>
    </xf>
    <xf numFmtId="0" fontId="1" fillId="34" borderId="91" xfId="0" applyNumberFormat="1" applyFont="1" applyFill="1" applyBorder="1" applyAlignment="1">
      <alignment horizontal="center" vertical="center"/>
    </xf>
    <xf numFmtId="0" fontId="0" fillId="34" borderId="91" xfId="0" applyNumberFormat="1" applyFont="1" applyFill="1" applyBorder="1" applyAlignment="1">
      <alignment horizontal="center" vertical="center" wrapText="1"/>
    </xf>
    <xf numFmtId="4" fontId="1" fillId="34" borderId="91" xfId="72" applyNumberFormat="1" applyFont="1" applyFill="1" applyBorder="1" applyAlignment="1">
      <alignment horizontal="right" vertical="center" wrapText="1"/>
    </xf>
    <xf numFmtId="0" fontId="32" fillId="0" borderId="0" xfId="53" applyFont="1">
      <alignment/>
      <protection/>
    </xf>
    <xf numFmtId="217" fontId="33" fillId="38" borderId="92" xfId="0" applyNumberFormat="1" applyFont="1" applyFill="1" applyBorder="1" applyAlignment="1">
      <alignment horizontal="right" vertical="top" wrapText="1"/>
    </xf>
    <xf numFmtId="4" fontId="33" fillId="38" borderId="92" xfId="0" applyNumberFormat="1" applyFont="1" applyFill="1" applyBorder="1" applyAlignment="1">
      <alignment horizontal="right" vertical="top" wrapText="1"/>
    </xf>
    <xf numFmtId="0" fontId="33" fillId="34" borderId="92" xfId="0" applyFont="1" applyFill="1" applyBorder="1" applyAlignment="1">
      <alignment horizontal="left" vertical="top" wrapText="1"/>
    </xf>
    <xf numFmtId="4" fontId="33" fillId="34" borderId="92" xfId="0" applyNumberFormat="1" applyFont="1" applyFill="1" applyBorder="1" applyAlignment="1">
      <alignment horizontal="right" vertical="top" wrapText="1"/>
    </xf>
    <xf numFmtId="2" fontId="1" fillId="0" borderId="0" xfId="49" applyNumberFormat="1" applyFont="1" applyBorder="1" applyAlignment="1">
      <alignment vertical="center"/>
    </xf>
    <xf numFmtId="2" fontId="1" fillId="0" borderId="13" xfId="49" applyNumberFormat="1" applyFont="1" applyBorder="1" applyAlignment="1">
      <alignment horizontal="left" vertical="center"/>
    </xf>
    <xf numFmtId="2" fontId="1" fillId="0" borderId="93" xfId="49" applyNumberFormat="1" applyFont="1" applyBorder="1" applyAlignment="1">
      <alignment horizontal="right" vertical="center"/>
    </xf>
    <xf numFmtId="2" fontId="0" fillId="34" borderId="18" xfId="72" applyNumberFormat="1" applyFont="1" applyFill="1" applyBorder="1" applyAlignment="1">
      <alignment horizontal="right" vertical="center" wrapText="1"/>
    </xf>
    <xf numFmtId="2" fontId="0" fillId="34" borderId="17" xfId="72" applyNumberFormat="1" applyFont="1" applyFill="1" applyBorder="1" applyAlignment="1">
      <alignment horizontal="right" vertical="center" wrapText="1"/>
    </xf>
    <xf numFmtId="2" fontId="1" fillId="34" borderId="91" xfId="72" applyNumberFormat="1" applyFont="1" applyFill="1" applyBorder="1" applyAlignment="1">
      <alignment horizontal="right" vertical="center" wrapText="1"/>
    </xf>
    <xf numFmtId="2" fontId="0" fillId="34" borderId="18" xfId="72" applyNumberFormat="1" applyFont="1" applyFill="1" applyBorder="1" applyAlignment="1">
      <alignment vertical="center" wrapText="1"/>
    </xf>
    <xf numFmtId="2" fontId="0" fillId="34" borderId="0" xfId="72" applyNumberFormat="1" applyFont="1" applyFill="1" applyBorder="1" applyAlignment="1">
      <alignment vertical="center" wrapText="1"/>
    </xf>
    <xf numFmtId="0" fontId="93" fillId="34" borderId="94" xfId="53" applyFont="1" applyFill="1" applyBorder="1" applyAlignment="1">
      <alignment horizontal="right" vertical="top" wrapText="1"/>
      <protection/>
    </xf>
    <xf numFmtId="0" fontId="93" fillId="34" borderId="17" xfId="53" applyFont="1" applyFill="1" applyBorder="1" applyAlignment="1">
      <alignment horizontal="right" vertical="top" wrapText="1"/>
      <protection/>
    </xf>
    <xf numFmtId="177" fontId="0" fillId="0" borderId="0" xfId="72" applyFont="1" applyBorder="1" applyAlignment="1">
      <alignment horizontal="right" vertical="center"/>
    </xf>
    <xf numFmtId="177" fontId="0" fillId="34" borderId="0" xfId="72" applyFont="1" applyFill="1" applyBorder="1" applyAlignment="1">
      <alignment horizontal="justify" vertical="center" wrapText="1"/>
    </xf>
    <xf numFmtId="0" fontId="0" fillId="34" borderId="0" xfId="0" applyNumberFormat="1" applyFont="1" applyFill="1" applyBorder="1" applyAlignment="1">
      <alignment vertical="center"/>
    </xf>
    <xf numFmtId="4" fontId="0" fillId="34" borderId="0" xfId="47" applyNumberFormat="1" applyFont="1" applyFill="1" applyBorder="1" applyAlignment="1">
      <alignment vertical="center"/>
    </xf>
    <xf numFmtId="43" fontId="0" fillId="34" borderId="0" xfId="0" applyNumberFormat="1" applyFont="1" applyFill="1" applyBorder="1" applyAlignment="1">
      <alignment vertical="center"/>
    </xf>
    <xf numFmtId="0" fontId="0" fillId="34" borderId="95" xfId="0" applyNumberFormat="1" applyFont="1" applyFill="1" applyBorder="1" applyAlignment="1">
      <alignment horizontal="center" vertical="center"/>
    </xf>
    <xf numFmtId="4" fontId="0" fillId="34" borderId="95" xfId="72" applyNumberFormat="1" applyFont="1" applyFill="1" applyBorder="1" applyAlignment="1">
      <alignment horizontal="right" vertical="center" wrapText="1"/>
    </xf>
    <xf numFmtId="2" fontId="0" fillId="34" borderId="95" xfId="72" applyNumberFormat="1" applyFont="1" applyFill="1" applyBorder="1" applyAlignment="1">
      <alignment horizontal="right" vertical="center" wrapText="1"/>
    </xf>
    <xf numFmtId="0" fontId="0" fillId="34" borderId="26" xfId="0" applyNumberFormat="1" applyFont="1" applyFill="1" applyBorder="1" applyAlignment="1">
      <alignment horizontal="center" vertical="center"/>
    </xf>
    <xf numFmtId="4" fontId="0" fillId="34" borderId="26" xfId="72" applyNumberFormat="1" applyFont="1" applyFill="1" applyBorder="1" applyAlignment="1">
      <alignment horizontal="right" vertical="center" wrapText="1"/>
    </xf>
    <xf numFmtId="40" fontId="0" fillId="34" borderId="0" xfId="0" applyNumberFormat="1" applyFont="1" applyFill="1" applyBorder="1" applyAlignment="1">
      <alignment vertical="center"/>
    </xf>
    <xf numFmtId="177" fontId="1" fillId="0" borderId="24" xfId="72" applyFont="1" applyBorder="1" applyAlignment="1">
      <alignment horizontal="right" vertical="center"/>
    </xf>
    <xf numFmtId="177" fontId="1" fillId="0" borderId="17" xfId="72" applyFont="1" applyBorder="1" applyAlignment="1">
      <alignment horizontal="right" vertical="center"/>
    </xf>
    <xf numFmtId="177" fontId="1" fillId="0" borderId="26" xfId="72" applyFont="1" applyBorder="1" applyAlignment="1">
      <alignment horizontal="right" vertical="center"/>
    </xf>
    <xf numFmtId="2" fontId="58" fillId="34" borderId="17" xfId="0" applyNumberFormat="1" applyFont="1" applyFill="1" applyBorder="1" applyAlignment="1">
      <alignment horizontal="right" vertical="center"/>
    </xf>
    <xf numFmtId="2" fontId="0" fillId="34" borderId="17" xfId="0" applyNumberFormat="1" applyFont="1" applyFill="1" applyBorder="1" applyAlignment="1">
      <alignment horizontal="right" vertical="center"/>
    </xf>
    <xf numFmtId="0" fontId="0" fillId="34" borderId="17" xfId="0" applyFont="1" applyFill="1" applyBorder="1" applyAlignment="1" applyProtection="1">
      <alignment horizontal="center" vertical="center" wrapText="1"/>
      <protection/>
    </xf>
    <xf numFmtId="0" fontId="0" fillId="34" borderId="30" xfId="0" applyFont="1" applyFill="1" applyBorder="1" applyAlignment="1" applyProtection="1">
      <alignment horizontal="center" vertical="center" wrapText="1"/>
      <protection/>
    </xf>
    <xf numFmtId="0" fontId="1" fillId="34" borderId="19" xfId="0" applyFont="1" applyFill="1" applyBorder="1" applyAlignment="1">
      <alignment vertical="center" wrapText="1"/>
    </xf>
    <xf numFmtId="0" fontId="1" fillId="34" borderId="21" xfId="0" applyFont="1" applyFill="1" applyBorder="1" applyAlignment="1">
      <alignment horizontal="left" vertical="center" wrapText="1"/>
    </xf>
    <xf numFmtId="0" fontId="1" fillId="34" borderId="21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left"/>
    </xf>
    <xf numFmtId="0" fontId="1" fillId="34" borderId="21" xfId="0" applyFont="1" applyFill="1" applyBorder="1" applyAlignment="1">
      <alignment horizontal="left" vertical="center"/>
    </xf>
    <xf numFmtId="0" fontId="0" fillId="34" borderId="22" xfId="0" applyFont="1" applyFill="1" applyBorder="1" applyAlignment="1">
      <alignment vertical="center"/>
    </xf>
    <xf numFmtId="0" fontId="0" fillId="34" borderId="96" xfId="0" applyNumberFormat="1" applyFont="1" applyFill="1" applyBorder="1" applyAlignment="1">
      <alignment horizontal="center" vertical="center"/>
    </xf>
    <xf numFmtId="0" fontId="6" fillId="34" borderId="97" xfId="0" applyFont="1" applyFill="1" applyBorder="1" applyAlignment="1">
      <alignment vertical="center"/>
    </xf>
    <xf numFmtId="0" fontId="6" fillId="34" borderId="14" xfId="0" applyFont="1" applyFill="1" applyBorder="1" applyAlignment="1">
      <alignment vertical="center"/>
    </xf>
    <xf numFmtId="0" fontId="6" fillId="34" borderId="98" xfId="0" applyFont="1" applyFill="1" applyBorder="1" applyAlignment="1">
      <alignment vertical="center"/>
    </xf>
    <xf numFmtId="0" fontId="0" fillId="34" borderId="18" xfId="0" applyNumberFormat="1" applyFont="1" applyFill="1" applyBorder="1" applyAlignment="1">
      <alignment horizontal="center" vertical="center"/>
    </xf>
    <xf numFmtId="0" fontId="33" fillId="38" borderId="92" xfId="0" applyFont="1" applyFill="1" applyBorder="1" applyAlignment="1">
      <alignment horizontal="left" vertical="top" wrapText="1"/>
    </xf>
    <xf numFmtId="0" fontId="0" fillId="34" borderId="81" xfId="0" applyFont="1" applyFill="1" applyBorder="1" applyAlignment="1" applyProtection="1">
      <alignment horizontal="center" vertical="center" wrapText="1"/>
      <protection/>
    </xf>
    <xf numFmtId="4" fontId="6" fillId="4" borderId="99" xfId="47" applyNumberFormat="1" applyFont="1" applyFill="1" applyBorder="1" applyAlignment="1">
      <alignment vertical="center" wrapText="1"/>
    </xf>
    <xf numFmtId="0" fontId="0" fillId="34" borderId="17" xfId="0" applyFont="1" applyFill="1" applyBorder="1" applyAlignment="1" applyProtection="1">
      <alignment horizontal="left" vertical="center" wrapText="1"/>
      <protection/>
    </xf>
    <xf numFmtId="0" fontId="0" fillId="34" borderId="17" xfId="0" applyFont="1" applyFill="1" applyBorder="1" applyAlignment="1" applyProtection="1">
      <alignment horizontal="center" vertical="center"/>
      <protection/>
    </xf>
    <xf numFmtId="0" fontId="0" fillId="34" borderId="97" xfId="0" applyNumberFormat="1" applyFont="1" applyFill="1" applyBorder="1" applyAlignment="1">
      <alignment horizontal="center" vertical="center"/>
    </xf>
    <xf numFmtId="0" fontId="0" fillId="34" borderId="24" xfId="0" applyFont="1" applyFill="1" applyBorder="1" applyAlignment="1" applyProtection="1">
      <alignment horizontal="center" vertical="center" wrapText="1"/>
      <protection/>
    </xf>
    <xf numFmtId="0" fontId="0" fillId="34" borderId="24" xfId="0" applyFont="1" applyFill="1" applyBorder="1" applyAlignment="1" applyProtection="1">
      <alignment horizontal="left" vertical="center" wrapText="1"/>
      <protection/>
    </xf>
    <xf numFmtId="0" fontId="0" fillId="34" borderId="24" xfId="0" applyNumberFormat="1" applyFont="1" applyFill="1" applyBorder="1" applyAlignment="1">
      <alignment horizontal="center" vertical="center"/>
    </xf>
    <xf numFmtId="0" fontId="0" fillId="34" borderId="24" xfId="0" applyFont="1" applyFill="1" applyBorder="1" applyAlignment="1" applyProtection="1">
      <alignment horizontal="center" vertical="center"/>
      <protection/>
    </xf>
    <xf numFmtId="4" fontId="0" fillId="34" borderId="24" xfId="72" applyNumberFormat="1" applyFont="1" applyFill="1" applyBorder="1" applyAlignment="1">
      <alignment horizontal="right" vertical="center" wrapText="1"/>
    </xf>
    <xf numFmtId="2" fontId="0" fillId="34" borderId="24" xfId="72" applyNumberFormat="1" applyFont="1" applyFill="1" applyBorder="1" applyAlignment="1">
      <alignment horizontal="right" vertical="center" wrapText="1"/>
    </xf>
    <xf numFmtId="0" fontId="0" fillId="34" borderId="14" xfId="0" applyNumberFormat="1" applyFont="1" applyFill="1" applyBorder="1" applyAlignment="1">
      <alignment horizontal="center" vertical="center"/>
    </xf>
    <xf numFmtId="0" fontId="0" fillId="34" borderId="98" xfId="0" applyNumberFormat="1" applyFont="1" applyFill="1" applyBorder="1" applyAlignment="1">
      <alignment horizontal="center" vertical="center"/>
    </xf>
    <xf numFmtId="2" fontId="0" fillId="34" borderId="26" xfId="72" applyNumberFormat="1" applyFont="1" applyFill="1" applyBorder="1" applyAlignment="1">
      <alignment horizontal="right" vertical="center" wrapText="1"/>
    </xf>
    <xf numFmtId="0" fontId="0" fillId="34" borderId="91" xfId="0" applyFont="1" applyFill="1" applyBorder="1" applyAlignment="1" applyProtection="1">
      <alignment horizontal="center" vertical="center" wrapText="1"/>
      <protection/>
    </xf>
    <xf numFmtId="0" fontId="0" fillId="34" borderId="91" xfId="0" applyFont="1" applyFill="1" applyBorder="1" applyAlignment="1" applyProtection="1">
      <alignment horizontal="left" vertical="center" wrapText="1"/>
      <protection/>
    </xf>
    <xf numFmtId="0" fontId="0" fillId="34" borderId="91" xfId="0" applyFont="1" applyFill="1" applyBorder="1" applyAlignment="1">
      <alignment vertical="center"/>
    </xf>
    <xf numFmtId="0" fontId="1" fillId="34" borderId="91" xfId="0" applyNumberFormat="1" applyFont="1" applyFill="1" applyBorder="1" applyAlignment="1">
      <alignment horizontal="justify" vertical="center"/>
    </xf>
    <xf numFmtId="2" fontId="0" fillId="34" borderId="91" xfId="0" applyNumberFormat="1" applyFont="1" applyFill="1" applyBorder="1" applyAlignment="1">
      <alignment horizontal="center" vertical="center"/>
    </xf>
    <xf numFmtId="4" fontId="0" fillId="34" borderId="91" xfId="0" applyNumberFormat="1" applyFont="1" applyFill="1" applyBorder="1" applyAlignment="1">
      <alignment horizontal="center" vertical="center"/>
    </xf>
    <xf numFmtId="0" fontId="22" fillId="34" borderId="24" xfId="0" applyFont="1" applyFill="1" applyBorder="1" applyAlignment="1">
      <alignment horizontal="center" vertical="center"/>
    </xf>
    <xf numFmtId="2" fontId="22" fillId="34" borderId="24" xfId="0" applyNumberFormat="1" applyFont="1" applyFill="1" applyBorder="1" applyAlignment="1">
      <alignment horizontal="right" vertical="center"/>
    </xf>
    <xf numFmtId="0" fontId="0" fillId="34" borderId="18" xfId="0" applyNumberFormat="1" applyFont="1" applyFill="1" applyBorder="1" applyAlignment="1">
      <alignment horizontal="left" vertical="center" wrapText="1"/>
    </xf>
    <xf numFmtId="43" fontId="1" fillId="34" borderId="0" xfId="0" applyNumberFormat="1" applyFont="1" applyFill="1" applyBorder="1" applyAlignment="1">
      <alignment vertical="center"/>
    </xf>
    <xf numFmtId="0" fontId="1" fillId="34" borderId="0" xfId="0" applyFont="1" applyFill="1" applyBorder="1" applyAlignment="1">
      <alignment vertical="center"/>
    </xf>
    <xf numFmtId="2" fontId="1" fillId="34" borderId="0" xfId="0" applyNumberFormat="1" applyFont="1" applyFill="1" applyBorder="1" applyAlignment="1">
      <alignment vertical="center"/>
    </xf>
    <xf numFmtId="0" fontId="0" fillId="34" borderId="17" xfId="0" applyFont="1" applyFill="1" applyBorder="1" applyAlignment="1">
      <alignment horizontal="left" vertical="center" wrapText="1"/>
    </xf>
    <xf numFmtId="0" fontId="0" fillId="34" borderId="95" xfId="0" applyFont="1" applyFill="1" applyBorder="1" applyAlignment="1">
      <alignment horizontal="left" vertical="center" wrapText="1"/>
    </xf>
    <xf numFmtId="0" fontId="0" fillId="34" borderId="0" xfId="55" applyFont="1" applyFill="1" applyBorder="1" applyAlignment="1" applyProtection="1">
      <alignment horizontal="center" vertical="center"/>
      <protection/>
    </xf>
    <xf numFmtId="0" fontId="0" fillId="34" borderId="30" xfId="55" applyFont="1" applyFill="1" applyBorder="1" applyAlignment="1" applyProtection="1">
      <alignment horizontal="center" vertical="center"/>
      <protection/>
    </xf>
    <xf numFmtId="0" fontId="22" fillId="34" borderId="24" xfId="0" applyFont="1" applyFill="1" applyBorder="1" applyAlignment="1">
      <alignment horizontal="left" vertical="center" wrapText="1"/>
    </xf>
    <xf numFmtId="0" fontId="0" fillId="34" borderId="17" xfId="0" applyFont="1" applyFill="1" applyBorder="1" applyAlignment="1">
      <alignment vertical="center"/>
    </xf>
    <xf numFmtId="4" fontId="0" fillId="34" borderId="17" xfId="0" applyNumberFormat="1" applyFont="1" applyFill="1" applyBorder="1" applyAlignment="1">
      <alignment horizontal="center" vertical="center"/>
    </xf>
    <xf numFmtId="0" fontId="0" fillId="34" borderId="26" xfId="0" applyNumberFormat="1" applyFont="1" applyFill="1" applyBorder="1" applyAlignment="1">
      <alignment horizontal="left" vertical="center" wrapText="1"/>
    </xf>
    <xf numFmtId="2" fontId="0" fillId="34" borderId="30" xfId="47" applyNumberFormat="1" applyFont="1" applyFill="1" applyBorder="1" applyAlignment="1">
      <alignment horizontal="right" vertical="center" wrapText="1"/>
    </xf>
    <xf numFmtId="10" fontId="1" fillId="0" borderId="23" xfId="59" applyNumberFormat="1" applyFont="1" applyBorder="1" applyAlignment="1">
      <alignment vertical="center" wrapText="1"/>
    </xf>
    <xf numFmtId="10" fontId="1" fillId="0" borderId="29" xfId="59" applyNumberFormat="1" applyFont="1" applyBorder="1" applyAlignment="1">
      <alignment vertical="center" wrapText="1"/>
    </xf>
    <xf numFmtId="44" fontId="1" fillId="0" borderId="29" xfId="49" applyFont="1" applyBorder="1" applyAlignment="1">
      <alignment vertical="center"/>
    </xf>
    <xf numFmtId="4" fontId="0" fillId="34" borderId="100" xfId="47" applyNumberFormat="1" applyFont="1" applyFill="1" applyBorder="1" applyAlignment="1">
      <alignment vertical="center" wrapText="1"/>
    </xf>
    <xf numFmtId="4" fontId="1" fillId="34" borderId="101" xfId="47" applyNumberFormat="1" applyFont="1" applyFill="1" applyBorder="1" applyAlignment="1">
      <alignment vertical="center" wrapText="1"/>
    </xf>
    <xf numFmtId="4" fontId="0" fillId="34" borderId="102" xfId="47" applyNumberFormat="1" applyFont="1" applyFill="1" applyBorder="1" applyAlignment="1">
      <alignment vertical="center" wrapText="1"/>
    </xf>
    <xf numFmtId="4" fontId="0" fillId="34" borderId="15" xfId="47" applyNumberFormat="1" applyFont="1" applyFill="1" applyBorder="1" applyAlignment="1">
      <alignment vertical="center" wrapText="1"/>
    </xf>
    <xf numFmtId="4" fontId="0" fillId="34" borderId="103" xfId="47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10" fontId="0" fillId="0" borderId="0" xfId="59" applyNumberFormat="1" applyFont="1" applyBorder="1" applyAlignment="1">
      <alignment horizontal="center" vertical="center"/>
    </xf>
    <xf numFmtId="177" fontId="0" fillId="0" borderId="87" xfId="72" applyFont="1" applyBorder="1" applyAlignment="1">
      <alignment horizontal="right" vertical="center"/>
    </xf>
    <xf numFmtId="177" fontId="0" fillId="0" borderId="27" xfId="72" applyFont="1" applyBorder="1" applyAlignment="1">
      <alignment horizontal="right" vertical="center" wrapText="1"/>
    </xf>
    <xf numFmtId="177" fontId="0" fillId="0" borderId="27" xfId="72" applyFont="1" applyBorder="1" applyAlignment="1">
      <alignment horizontal="right"/>
    </xf>
    <xf numFmtId="177" fontId="1" fillId="0" borderId="23" xfId="72" applyFont="1" applyBorder="1" applyAlignment="1">
      <alignment horizontal="right" vertical="center"/>
    </xf>
    <xf numFmtId="177" fontId="0" fillId="34" borderId="17" xfId="72" applyFont="1" applyFill="1" applyBorder="1" applyAlignment="1">
      <alignment horizontal="right" vertical="center" wrapText="1"/>
    </xf>
    <xf numFmtId="177" fontId="0" fillId="34" borderId="18" xfId="72" applyFont="1" applyFill="1" applyBorder="1" applyAlignment="1">
      <alignment horizontal="right" vertical="center" wrapText="1"/>
    </xf>
    <xf numFmtId="177" fontId="1" fillId="34" borderId="91" xfId="72" applyFont="1" applyFill="1" applyBorder="1" applyAlignment="1">
      <alignment horizontal="right" vertical="center" wrapText="1"/>
    </xf>
    <xf numFmtId="177" fontId="0" fillId="34" borderId="95" xfId="72" applyFont="1" applyFill="1" applyBorder="1" applyAlignment="1">
      <alignment horizontal="right" vertical="center" wrapText="1"/>
    </xf>
    <xf numFmtId="177" fontId="0" fillId="34" borderId="24" xfId="72" applyFont="1" applyFill="1" applyBorder="1" applyAlignment="1">
      <alignment horizontal="right" vertical="center" wrapText="1"/>
    </xf>
    <xf numFmtId="177" fontId="0" fillId="34" borderId="17" xfId="72" applyFont="1" applyFill="1" applyBorder="1" applyAlignment="1">
      <alignment horizontal="right" vertical="center"/>
    </xf>
    <xf numFmtId="177" fontId="0" fillId="34" borderId="26" xfId="72" applyFont="1" applyFill="1" applyBorder="1" applyAlignment="1">
      <alignment horizontal="right" vertical="center" wrapText="1"/>
    </xf>
    <xf numFmtId="177" fontId="1" fillId="34" borderId="91" xfId="72" applyFont="1" applyFill="1" applyBorder="1" applyAlignment="1">
      <alignment horizontal="right" vertical="center"/>
    </xf>
    <xf numFmtId="2" fontId="0" fillId="34" borderId="18" xfId="72" applyNumberFormat="1" applyFont="1" applyFill="1" applyBorder="1" applyAlignment="1">
      <alignment horizontal="center" vertical="center" wrapText="1"/>
    </xf>
    <xf numFmtId="4" fontId="0" fillId="34" borderId="18" xfId="72" applyNumberFormat="1" applyFont="1" applyFill="1" applyBorder="1" applyAlignment="1">
      <alignment horizontal="center" vertical="center" wrapText="1"/>
    </xf>
    <xf numFmtId="0" fontId="1" fillId="39" borderId="104" xfId="0" applyNumberFormat="1" applyFont="1" applyFill="1" applyBorder="1" applyAlignment="1">
      <alignment horizontal="center" vertical="center"/>
    </xf>
    <xf numFmtId="2" fontId="0" fillId="39" borderId="51" xfId="72" applyNumberFormat="1" applyFont="1" applyFill="1" applyBorder="1" applyAlignment="1">
      <alignment vertical="center" wrapText="1"/>
    </xf>
    <xf numFmtId="40" fontId="0" fillId="39" borderId="51" xfId="72" applyNumberFormat="1" applyFont="1" applyFill="1" applyBorder="1" applyAlignment="1">
      <alignment vertical="center" wrapText="1"/>
    </xf>
    <xf numFmtId="183" fontId="0" fillId="39" borderId="105" xfId="47" applyFont="1" applyFill="1" applyBorder="1" applyAlignment="1">
      <alignment vertical="center" wrapText="1"/>
    </xf>
    <xf numFmtId="40" fontId="0" fillId="0" borderId="18" xfId="72" applyNumberFormat="1" applyFont="1" applyFill="1" applyBorder="1" applyAlignment="1">
      <alignment vertical="center" wrapText="1"/>
    </xf>
    <xf numFmtId="193" fontId="1" fillId="34" borderId="28" xfId="0" applyNumberFormat="1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93" fontId="1" fillId="0" borderId="28" xfId="0" applyNumberFormat="1" applyFont="1" applyFill="1" applyBorder="1" applyAlignment="1">
      <alignment horizontal="center" vertical="center"/>
    </xf>
    <xf numFmtId="10" fontId="0" fillId="0" borderId="28" xfId="59" applyNumberFormat="1" applyFont="1" applyBorder="1" applyAlignment="1">
      <alignment horizontal="center" vertical="center"/>
    </xf>
    <xf numFmtId="0" fontId="1" fillId="39" borderId="51" xfId="0" applyNumberFormat="1" applyFont="1" applyFill="1" applyBorder="1" applyAlignment="1">
      <alignment vertical="center"/>
    </xf>
    <xf numFmtId="0" fontId="1" fillId="39" borderId="51" xfId="0" applyNumberFormat="1" applyFont="1" applyFill="1" applyBorder="1" applyAlignment="1">
      <alignment vertical="center" wrapText="1"/>
    </xf>
    <xf numFmtId="0" fontId="0" fillId="39" borderId="51" xfId="0" applyNumberFormat="1" applyFont="1" applyFill="1" applyBorder="1" applyAlignment="1">
      <alignment vertical="center" wrapText="1"/>
    </xf>
    <xf numFmtId="177" fontId="0" fillId="39" borderId="51" xfId="72" applyFont="1" applyFill="1" applyBorder="1" applyAlignment="1">
      <alignment vertical="center" wrapText="1"/>
    </xf>
    <xf numFmtId="2" fontId="1" fillId="0" borderId="28" xfId="72" applyNumberFormat="1" applyFont="1" applyBorder="1" applyAlignment="1">
      <alignment horizontal="left" vertical="center"/>
    </xf>
    <xf numFmtId="0" fontId="0" fillId="34" borderId="90" xfId="0" applyNumberFormat="1" applyFont="1" applyFill="1" applyBorder="1" applyAlignment="1">
      <alignment horizontal="center" vertical="center"/>
    </xf>
    <xf numFmtId="4" fontId="1" fillId="34" borderId="101" xfId="72" applyNumberFormat="1" applyFont="1" applyFill="1" applyBorder="1" applyAlignment="1">
      <alignment vertical="center" wrapText="1"/>
    </xf>
    <xf numFmtId="0" fontId="23" fillId="0" borderId="96" xfId="0" applyFont="1" applyBorder="1" applyAlignment="1" applyProtection="1">
      <alignment horizontal="center" vertical="center"/>
      <protection/>
    </xf>
    <xf numFmtId="0" fontId="23" fillId="0" borderId="18" xfId="0" applyFont="1" applyBorder="1" applyAlignment="1" applyProtection="1">
      <alignment horizontal="center" vertical="center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26" fillId="0" borderId="100" xfId="0" applyFont="1" applyBorder="1" applyAlignment="1" applyProtection="1">
      <alignment horizontal="center" vertical="center" wrapText="1"/>
      <protection/>
    </xf>
    <xf numFmtId="0" fontId="24" fillId="0" borderId="106" xfId="0" applyFont="1" applyBorder="1" applyAlignment="1" applyProtection="1">
      <alignment horizontal="left" vertical="center"/>
      <protection/>
    </xf>
    <xf numFmtId="212" fontId="25" fillId="0" borderId="107" xfId="0" applyNumberFormat="1" applyFont="1" applyBorder="1" applyAlignment="1" applyProtection="1">
      <alignment horizontal="right" vertical="center"/>
      <protection/>
    </xf>
    <xf numFmtId="212" fontId="94" fillId="0" borderId="23" xfId="0" applyNumberFormat="1" applyFont="1" applyBorder="1" applyAlignment="1" applyProtection="1">
      <alignment/>
      <protection/>
    </xf>
    <xf numFmtId="0" fontId="33" fillId="38" borderId="108" xfId="0" applyFont="1" applyFill="1" applyBorder="1" applyAlignment="1">
      <alignment horizontal="left" vertical="top" wrapText="1"/>
    </xf>
    <xf numFmtId="217" fontId="33" fillId="38" borderId="108" xfId="0" applyNumberFormat="1" applyFont="1" applyFill="1" applyBorder="1" applyAlignment="1">
      <alignment horizontal="right" vertical="top" wrapText="1"/>
    </xf>
    <xf numFmtId="4" fontId="33" fillId="38" borderId="108" xfId="0" applyNumberFormat="1" applyFont="1" applyFill="1" applyBorder="1" applyAlignment="1">
      <alignment horizontal="right" vertical="top" wrapText="1"/>
    </xf>
    <xf numFmtId="4" fontId="95" fillId="34" borderId="109" xfId="0" applyNumberFormat="1" applyFont="1" applyFill="1" applyBorder="1" applyAlignment="1">
      <alignment horizontal="right" vertical="top" wrapText="1"/>
    </xf>
    <xf numFmtId="0" fontId="96" fillId="34" borderId="0" xfId="53" applyFont="1" applyFill="1">
      <alignment/>
      <protection/>
    </xf>
    <xf numFmtId="0" fontId="97" fillId="34" borderId="0" xfId="0" applyFont="1" applyFill="1" applyAlignment="1" applyProtection="1">
      <alignment/>
      <protection/>
    </xf>
    <xf numFmtId="0" fontId="25" fillId="0" borderId="87" xfId="0" applyFont="1" applyBorder="1" applyAlignment="1" applyProtection="1">
      <alignment/>
      <protection/>
    </xf>
    <xf numFmtId="0" fontId="23" fillId="35" borderId="110" xfId="0" applyFont="1" applyFill="1" applyBorder="1" applyAlignment="1" applyProtection="1">
      <alignment horizontal="left" vertical="center"/>
      <protection/>
    </xf>
    <xf numFmtId="0" fontId="26" fillId="35" borderId="111" xfId="0" applyFont="1" applyFill="1" applyBorder="1" applyAlignment="1" applyProtection="1">
      <alignment/>
      <protection/>
    </xf>
    <xf numFmtId="0" fontId="23" fillId="0" borderId="14" xfId="0" applyFont="1" applyBorder="1" applyAlignment="1" applyProtection="1">
      <alignment horizontal="center" vertical="center"/>
      <protection/>
    </xf>
    <xf numFmtId="0" fontId="26" fillId="0" borderId="15" xfId="0" applyFont="1" applyBorder="1" applyAlignment="1" applyProtection="1">
      <alignment horizontal="center" vertical="center" wrapText="1"/>
      <protection/>
    </xf>
    <xf numFmtId="212" fontId="26" fillId="0" borderId="27" xfId="0" applyNumberFormat="1" applyFont="1" applyBorder="1" applyAlignment="1" applyProtection="1">
      <alignment horizontal="right"/>
      <protection/>
    </xf>
    <xf numFmtId="212" fontId="26" fillId="0" borderId="27" xfId="0" applyNumberFormat="1" applyFont="1" applyBorder="1" applyAlignment="1" applyProtection="1">
      <alignment/>
      <protection/>
    </xf>
    <xf numFmtId="0" fontId="33" fillId="38" borderId="112" xfId="0" applyFont="1" applyFill="1" applyBorder="1" applyAlignment="1">
      <alignment horizontal="right" vertical="top" wrapText="1"/>
    </xf>
    <xf numFmtId="4" fontId="33" fillId="38" borderId="113" xfId="0" applyNumberFormat="1" applyFont="1" applyFill="1" applyBorder="1" applyAlignment="1">
      <alignment horizontal="right" vertical="top" wrapText="1"/>
    </xf>
    <xf numFmtId="0" fontId="33" fillId="38" borderId="114" xfId="0" applyFont="1" applyFill="1" applyBorder="1" applyAlignment="1">
      <alignment horizontal="right" vertical="top" wrapText="1"/>
    </xf>
    <xf numFmtId="4" fontId="33" fillId="38" borderId="115" xfId="0" applyNumberFormat="1" applyFont="1" applyFill="1" applyBorder="1" applyAlignment="1">
      <alignment horizontal="right" vertical="top" wrapText="1"/>
    </xf>
    <xf numFmtId="0" fontId="1" fillId="34" borderId="91" xfId="0" applyNumberFormat="1" applyFont="1" applyFill="1" applyBorder="1" applyAlignment="1">
      <alignment horizontal="left" vertical="center" wrapText="1"/>
    </xf>
    <xf numFmtId="0" fontId="1" fillId="34" borderId="17" xfId="0" applyNumberFormat="1" applyFont="1" applyFill="1" applyBorder="1" applyAlignment="1">
      <alignment horizontal="left" vertical="center" wrapText="1"/>
    </xf>
    <xf numFmtId="177" fontId="1" fillId="34" borderId="17" xfId="72" applyFont="1" applyFill="1" applyBorder="1" applyAlignment="1">
      <alignment horizontal="right" vertical="center" wrapText="1"/>
    </xf>
    <xf numFmtId="0" fontId="1" fillId="39" borderId="116" xfId="0" applyNumberFormat="1" applyFont="1" applyFill="1" applyBorder="1" applyAlignment="1">
      <alignment horizontal="center" vertical="center"/>
    </xf>
    <xf numFmtId="0" fontId="1" fillId="39" borderId="117" xfId="0" applyNumberFormat="1" applyFont="1" applyFill="1" applyBorder="1" applyAlignment="1">
      <alignment horizontal="center" vertical="center"/>
    </xf>
    <xf numFmtId="0" fontId="1" fillId="39" borderId="117" xfId="0" applyNumberFormat="1" applyFont="1" applyFill="1" applyBorder="1" applyAlignment="1">
      <alignment horizontal="left" vertical="center" wrapText="1"/>
    </xf>
    <xf numFmtId="0" fontId="0" fillId="39" borderId="117" xfId="0" applyNumberFormat="1" applyFont="1" applyFill="1" applyBorder="1" applyAlignment="1">
      <alignment horizontal="center" vertical="center"/>
    </xf>
    <xf numFmtId="177" fontId="0" fillId="39" borderId="117" xfId="72" applyFont="1" applyFill="1" applyBorder="1" applyAlignment="1">
      <alignment horizontal="right" vertical="center"/>
    </xf>
    <xf numFmtId="2" fontId="0" fillId="39" borderId="117" xfId="72" applyNumberFormat="1" applyFont="1" applyFill="1" applyBorder="1" applyAlignment="1">
      <alignment horizontal="right" vertical="center"/>
    </xf>
    <xf numFmtId="4" fontId="0" fillId="39" borderId="117" xfId="72" applyNumberFormat="1" applyFont="1" applyFill="1" applyBorder="1" applyAlignment="1">
      <alignment horizontal="right" vertical="center"/>
    </xf>
    <xf numFmtId="4" fontId="0" fillId="39" borderId="99" xfId="47" applyNumberFormat="1" applyFont="1" applyFill="1" applyBorder="1" applyAlignment="1">
      <alignment vertical="center"/>
    </xf>
    <xf numFmtId="4" fontId="0" fillId="39" borderId="117" xfId="72" applyNumberFormat="1" applyFont="1" applyFill="1" applyBorder="1" applyAlignment="1">
      <alignment horizontal="right" vertical="center" wrapText="1"/>
    </xf>
    <xf numFmtId="0" fontId="0" fillId="37" borderId="116" xfId="0" applyFont="1" applyFill="1" applyBorder="1" applyAlignment="1">
      <alignment horizontal="center" vertical="center" wrapText="1"/>
    </xf>
    <xf numFmtId="0" fontId="0" fillId="37" borderId="117" xfId="0" applyFont="1" applyFill="1" applyBorder="1" applyAlignment="1">
      <alignment horizontal="center" vertical="center" wrapText="1"/>
    </xf>
    <xf numFmtId="0" fontId="1" fillId="37" borderId="117" xfId="0" applyFont="1" applyFill="1" applyBorder="1" applyAlignment="1">
      <alignment horizontal="left" vertical="center" wrapText="1"/>
    </xf>
    <xf numFmtId="0" fontId="1" fillId="37" borderId="117" xfId="0" applyFont="1" applyFill="1" applyBorder="1" applyAlignment="1">
      <alignment horizontal="center" vertical="center" wrapText="1"/>
    </xf>
    <xf numFmtId="177" fontId="1" fillId="37" borderId="117" xfId="72" applyFont="1" applyFill="1" applyBorder="1" applyAlignment="1">
      <alignment horizontal="right" vertical="center" wrapText="1"/>
    </xf>
    <xf numFmtId="2" fontId="1" fillId="37" borderId="117" xfId="72" applyNumberFormat="1" applyFont="1" applyFill="1" applyBorder="1" applyAlignment="1">
      <alignment horizontal="right" vertical="center" wrapText="1"/>
    </xf>
    <xf numFmtId="4" fontId="1" fillId="37" borderId="117" xfId="72" applyNumberFormat="1" applyFont="1" applyFill="1" applyBorder="1" applyAlignment="1">
      <alignment horizontal="right" vertical="center" wrapText="1"/>
    </xf>
    <xf numFmtId="4" fontId="0" fillId="37" borderId="117" xfId="72" applyNumberFormat="1" applyFont="1" applyFill="1" applyBorder="1" applyAlignment="1">
      <alignment horizontal="right" vertical="center" wrapText="1"/>
    </xf>
    <xf numFmtId="4" fontId="1" fillId="37" borderId="99" xfId="47" applyNumberFormat="1" applyFont="1" applyFill="1" applyBorder="1" applyAlignment="1">
      <alignment vertical="center" wrapText="1"/>
    </xf>
    <xf numFmtId="0" fontId="0" fillId="39" borderId="117" xfId="0" applyFont="1" applyFill="1" applyBorder="1" applyAlignment="1">
      <alignment horizontal="center" vertical="center"/>
    </xf>
    <xf numFmtId="0" fontId="0" fillId="34" borderId="91" xfId="0" applyNumberFormat="1" applyFont="1" applyFill="1" applyBorder="1" applyAlignment="1">
      <alignment horizontal="center" vertical="center"/>
    </xf>
    <xf numFmtId="0" fontId="1" fillId="34" borderId="91" xfId="0" applyFont="1" applyFill="1" applyBorder="1" applyAlignment="1">
      <alignment horizontal="left" vertical="center" wrapText="1"/>
    </xf>
    <xf numFmtId="177" fontId="0" fillId="34" borderId="91" xfId="72" applyFont="1" applyFill="1" applyBorder="1" applyAlignment="1">
      <alignment horizontal="right" vertical="center" wrapText="1"/>
    </xf>
    <xf numFmtId="2" fontId="0" fillId="34" borderId="91" xfId="72" applyNumberFormat="1" applyFont="1" applyFill="1" applyBorder="1" applyAlignment="1">
      <alignment horizontal="right" vertical="center" wrapText="1"/>
    </xf>
    <xf numFmtId="4" fontId="0" fillId="34" borderId="91" xfId="72" applyNumberFormat="1" applyFont="1" applyFill="1" applyBorder="1" applyAlignment="1">
      <alignment horizontal="right" vertical="center" wrapText="1"/>
    </xf>
    <xf numFmtId="0" fontId="1" fillId="34" borderId="90" xfId="0" applyNumberFormat="1" applyFont="1" applyFill="1" applyBorder="1" applyAlignment="1">
      <alignment horizontal="justify" vertical="center"/>
    </xf>
    <xf numFmtId="0" fontId="1" fillId="34" borderId="91" xfId="0" applyNumberFormat="1" applyFont="1" applyFill="1" applyBorder="1" applyAlignment="1">
      <alignment horizontal="left" vertical="center"/>
    </xf>
    <xf numFmtId="0" fontId="1" fillId="39" borderId="118" xfId="0" applyNumberFormat="1" applyFont="1" applyFill="1" applyBorder="1" applyAlignment="1">
      <alignment horizontal="center" vertical="center"/>
    </xf>
    <xf numFmtId="0" fontId="1" fillId="39" borderId="119" xfId="0" applyNumberFormat="1" applyFont="1" applyFill="1" applyBorder="1" applyAlignment="1">
      <alignment horizontal="center" vertical="center"/>
    </xf>
    <xf numFmtId="0" fontId="1" fillId="39" borderId="119" xfId="0" applyNumberFormat="1" applyFont="1" applyFill="1" applyBorder="1" applyAlignment="1">
      <alignment horizontal="left" vertical="center" wrapText="1"/>
    </xf>
    <xf numFmtId="0" fontId="0" fillId="39" borderId="119" xfId="0" applyNumberFormat="1" applyFont="1" applyFill="1" applyBorder="1" applyAlignment="1">
      <alignment horizontal="center" vertical="center"/>
    </xf>
    <xf numFmtId="177" fontId="0" fillId="39" borderId="119" xfId="72" applyFont="1" applyFill="1" applyBorder="1" applyAlignment="1">
      <alignment horizontal="right" vertical="center" wrapText="1"/>
    </xf>
    <xf numFmtId="2" fontId="0" fillId="39" borderId="119" xfId="72" applyNumberFormat="1" applyFont="1" applyFill="1" applyBorder="1" applyAlignment="1">
      <alignment horizontal="right" vertical="center" wrapText="1"/>
    </xf>
    <xf numFmtId="4" fontId="0" fillId="39" borderId="119" xfId="72" applyNumberFormat="1" applyFont="1" applyFill="1" applyBorder="1" applyAlignment="1">
      <alignment horizontal="right" vertical="center" wrapText="1"/>
    </xf>
    <xf numFmtId="4" fontId="0" fillId="39" borderId="120" xfId="47" applyNumberFormat="1" applyFont="1" applyFill="1" applyBorder="1" applyAlignment="1">
      <alignment vertical="center" wrapText="1"/>
    </xf>
    <xf numFmtId="0" fontId="1" fillId="39" borderId="119" xfId="0" applyNumberFormat="1" applyFont="1" applyFill="1" applyBorder="1" applyAlignment="1">
      <alignment horizontal="left" vertical="center"/>
    </xf>
    <xf numFmtId="177" fontId="1" fillId="39" borderId="119" xfId="72" applyFont="1" applyFill="1" applyBorder="1" applyAlignment="1">
      <alignment horizontal="right" vertical="center" wrapText="1"/>
    </xf>
    <xf numFmtId="2" fontId="1" fillId="39" borderId="119" xfId="72" applyNumberFormat="1" applyFont="1" applyFill="1" applyBorder="1" applyAlignment="1">
      <alignment horizontal="right" vertical="center" wrapText="1"/>
    </xf>
    <xf numFmtId="4" fontId="1" fillId="39" borderId="119" xfId="72" applyNumberFormat="1" applyFont="1" applyFill="1" applyBorder="1" applyAlignment="1">
      <alignment horizontal="right" vertical="center" wrapText="1"/>
    </xf>
    <xf numFmtId="4" fontId="1" fillId="39" borderId="120" xfId="47" applyNumberFormat="1" applyFont="1" applyFill="1" applyBorder="1" applyAlignment="1">
      <alignment vertical="center" wrapText="1"/>
    </xf>
    <xf numFmtId="0" fontId="0" fillId="34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0" xfId="0" applyFont="1" applyBorder="1" applyAlignment="1">
      <alignment horizontal="left" vertical="center"/>
    </xf>
    <xf numFmtId="0" fontId="0" fillId="0" borderId="20" xfId="0" applyFont="1" applyBorder="1" applyAlignment="1">
      <alignment horizontal="center" vertical="center"/>
    </xf>
    <xf numFmtId="177" fontId="0" fillId="0" borderId="20" xfId="72" applyFont="1" applyBorder="1" applyAlignment="1">
      <alignment horizontal="right" vertical="center"/>
    </xf>
    <xf numFmtId="2" fontId="0" fillId="0" borderId="20" xfId="0" applyNumberFormat="1" applyFont="1" applyFill="1" applyBorder="1" applyAlignment="1">
      <alignment vertical="center"/>
    </xf>
    <xf numFmtId="0" fontId="0" fillId="0" borderId="87" xfId="0" applyFont="1" applyFill="1" applyBorder="1" applyAlignment="1">
      <alignment vertical="center"/>
    </xf>
    <xf numFmtId="0" fontId="33" fillId="34" borderId="112" xfId="0" applyFont="1" applyFill="1" applyBorder="1" applyAlignment="1">
      <alignment horizontal="right" vertical="top" wrapText="1"/>
    </xf>
    <xf numFmtId="0" fontId="33" fillId="34" borderId="108" xfId="0" applyFont="1" applyFill="1" applyBorder="1" applyAlignment="1">
      <alignment horizontal="left" vertical="top" wrapText="1"/>
    </xf>
    <xf numFmtId="0" fontId="0" fillId="34" borderId="0" xfId="0" applyFill="1" applyBorder="1" applyAlignment="1" applyProtection="1">
      <alignment/>
      <protection/>
    </xf>
    <xf numFmtId="217" fontId="33" fillId="34" borderId="108" xfId="0" applyNumberFormat="1" applyFont="1" applyFill="1" applyBorder="1" applyAlignment="1">
      <alignment horizontal="right" vertical="top" wrapText="1"/>
    </xf>
    <xf numFmtId="4" fontId="33" fillId="34" borderId="108" xfId="0" applyNumberFormat="1" applyFont="1" applyFill="1" applyBorder="1" applyAlignment="1">
      <alignment horizontal="right" vertical="top" wrapText="1"/>
    </xf>
    <xf numFmtId="0" fontId="0" fillId="34" borderId="27" xfId="0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33" fillId="34" borderId="114" xfId="0" applyFont="1" applyFill="1" applyBorder="1" applyAlignment="1">
      <alignment horizontal="right" vertical="top" wrapText="1"/>
    </xf>
    <xf numFmtId="217" fontId="33" fillId="34" borderId="92" xfId="0" applyNumberFormat="1" applyFont="1" applyFill="1" applyBorder="1" applyAlignment="1">
      <alignment horizontal="right" vertical="top" wrapText="1"/>
    </xf>
    <xf numFmtId="0" fontId="98" fillId="37" borderId="121" xfId="0" applyFont="1" applyFill="1" applyBorder="1" applyAlignment="1">
      <alignment horizontal="right" vertical="top" wrapText="1"/>
    </xf>
    <xf numFmtId="0" fontId="98" fillId="37" borderId="122" xfId="0" applyFont="1" applyFill="1" applyBorder="1" applyAlignment="1">
      <alignment horizontal="left" vertical="top" wrapText="1"/>
    </xf>
    <xf numFmtId="217" fontId="98" fillId="37" borderId="122" xfId="0" applyNumberFormat="1" applyFont="1" applyFill="1" applyBorder="1" applyAlignment="1">
      <alignment horizontal="right" vertical="top" wrapText="1"/>
    </xf>
    <xf numFmtId="4" fontId="98" fillId="37" borderId="122" xfId="0" applyNumberFormat="1" applyFont="1" applyFill="1" applyBorder="1" applyAlignment="1">
      <alignment horizontal="right" vertical="top" wrapText="1"/>
    </xf>
    <xf numFmtId="4" fontId="98" fillId="37" borderId="123" xfId="0" applyNumberFormat="1" applyFont="1" applyFill="1" applyBorder="1" applyAlignment="1">
      <alignment horizontal="right" vertical="top" wrapText="1"/>
    </xf>
    <xf numFmtId="4" fontId="99" fillId="34" borderId="109" xfId="0" applyNumberFormat="1" applyFont="1" applyFill="1" applyBorder="1" applyAlignment="1">
      <alignment horizontal="right" vertical="top" wrapText="1"/>
    </xf>
    <xf numFmtId="0" fontId="100" fillId="34" borderId="0" xfId="53" applyFont="1" applyFill="1">
      <alignment/>
      <protection/>
    </xf>
    <xf numFmtId="0" fontId="34" fillId="0" borderId="0" xfId="53" applyFont="1">
      <alignment/>
      <protection/>
    </xf>
    <xf numFmtId="0" fontId="1" fillId="37" borderId="28" xfId="0" applyFont="1" applyFill="1" applyBorder="1" applyAlignment="1" applyProtection="1">
      <alignment/>
      <protection/>
    </xf>
    <xf numFmtId="0" fontId="1" fillId="37" borderId="29" xfId="0" applyFont="1" applyFill="1" applyBorder="1" applyAlignment="1" applyProtection="1">
      <alignment/>
      <protection/>
    </xf>
    <xf numFmtId="0" fontId="101" fillId="34" borderId="0" xfId="0" applyFon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4" fillId="0" borderId="124" xfId="0" applyFont="1" applyBorder="1" applyAlignment="1" applyProtection="1">
      <alignment horizontal="left" vertical="center"/>
      <protection/>
    </xf>
    <xf numFmtId="0" fontId="24" fillId="0" borderId="81" xfId="0" applyFont="1" applyBorder="1" applyAlignment="1" applyProtection="1">
      <alignment horizontal="left" vertical="center" wrapText="1"/>
      <protection/>
    </xf>
    <xf numFmtId="211" fontId="24" fillId="0" borderId="81" xfId="0" applyNumberFormat="1" applyFont="1" applyBorder="1" applyAlignment="1" applyProtection="1">
      <alignment horizontal="right" vertical="center"/>
      <protection/>
    </xf>
    <xf numFmtId="212" fontId="24" fillId="0" borderId="81" xfId="0" applyNumberFormat="1" applyFont="1" applyBorder="1" applyAlignment="1" applyProtection="1">
      <alignment horizontal="right" vertical="center"/>
      <protection/>
    </xf>
    <xf numFmtId="0" fontId="1" fillId="0" borderId="0" xfId="53" applyFont="1" applyAlignment="1" applyProtection="1">
      <alignment horizontal="center"/>
      <protection/>
    </xf>
    <xf numFmtId="0" fontId="0" fillId="0" borderId="0" xfId="53" applyFont="1" applyAlignment="1" applyProtection="1">
      <alignment horizontal="center"/>
      <protection/>
    </xf>
    <xf numFmtId="0" fontId="13" fillId="0" borderId="0" xfId="53" applyFont="1" applyAlignment="1" applyProtection="1">
      <alignment horizontal="center"/>
      <protection/>
    </xf>
    <xf numFmtId="0" fontId="38" fillId="34" borderId="24" xfId="0" applyFont="1" applyFill="1" applyBorder="1" applyAlignment="1">
      <alignment horizontal="center" vertical="center"/>
    </xf>
    <xf numFmtId="0" fontId="38" fillId="34" borderId="24" xfId="0" applyFont="1" applyFill="1" applyBorder="1" applyAlignment="1">
      <alignment horizontal="left" vertical="center" wrapText="1"/>
    </xf>
    <xf numFmtId="0" fontId="1" fillId="34" borderId="24" xfId="0" applyNumberFormat="1" applyFont="1" applyFill="1" applyBorder="1" applyAlignment="1">
      <alignment horizontal="center" vertical="center"/>
    </xf>
    <xf numFmtId="177" fontId="1" fillId="34" borderId="24" xfId="72" applyFont="1" applyFill="1" applyBorder="1" applyAlignment="1">
      <alignment horizontal="right" vertical="center" wrapText="1"/>
    </xf>
    <xf numFmtId="0" fontId="1" fillId="34" borderId="97" xfId="0" applyNumberFormat="1" applyFont="1" applyFill="1" applyBorder="1" applyAlignment="1">
      <alignment horizontal="center" vertical="center"/>
    </xf>
    <xf numFmtId="0" fontId="1" fillId="34" borderId="0" xfId="0" applyNumberFormat="1" applyFont="1" applyFill="1" applyBorder="1" applyAlignment="1">
      <alignment vertical="center"/>
    </xf>
    <xf numFmtId="10" fontId="1" fillId="34" borderId="0" xfId="59" applyNumberFormat="1" applyFont="1" applyFill="1" applyBorder="1" applyAlignment="1">
      <alignment vertical="center"/>
    </xf>
    <xf numFmtId="0" fontId="0" fillId="34" borderId="95" xfId="0" applyFont="1" applyFill="1" applyBorder="1" applyAlignment="1" applyProtection="1">
      <alignment horizontal="left" vertical="center" wrapText="1"/>
      <protection/>
    </xf>
    <xf numFmtId="0" fontId="0" fillId="34" borderId="95" xfId="0" applyFont="1" applyFill="1" applyBorder="1" applyAlignment="1" applyProtection="1">
      <alignment horizontal="center" vertical="center"/>
      <protection/>
    </xf>
    <xf numFmtId="0" fontId="0" fillId="34" borderId="116" xfId="0" applyFont="1" applyFill="1" applyBorder="1" applyAlignment="1">
      <alignment vertical="center"/>
    </xf>
    <xf numFmtId="0" fontId="1" fillId="34" borderId="117" xfId="0" applyNumberFormat="1" applyFont="1" applyFill="1" applyBorder="1" applyAlignment="1">
      <alignment horizontal="justify" vertical="center"/>
    </xf>
    <xf numFmtId="0" fontId="1" fillId="34" borderId="117" xfId="0" applyNumberFormat="1" applyFont="1" applyFill="1" applyBorder="1" applyAlignment="1">
      <alignment horizontal="left" vertical="center"/>
    </xf>
    <xf numFmtId="0" fontId="0" fillId="34" borderId="117" xfId="0" applyNumberFormat="1" applyFont="1" applyFill="1" applyBorder="1" applyAlignment="1">
      <alignment horizontal="center" vertical="center"/>
    </xf>
    <xf numFmtId="177" fontId="1" fillId="34" borderId="117" xfId="72" applyFont="1" applyFill="1" applyBorder="1" applyAlignment="1">
      <alignment horizontal="right" vertical="center" wrapText="1"/>
    </xf>
    <xf numFmtId="2" fontId="1" fillId="34" borderId="117" xfId="72" applyNumberFormat="1" applyFont="1" applyFill="1" applyBorder="1" applyAlignment="1">
      <alignment horizontal="right" vertical="center" wrapText="1"/>
    </xf>
    <xf numFmtId="4" fontId="1" fillId="34" borderId="99" xfId="47" applyNumberFormat="1" applyFont="1" applyFill="1" applyBorder="1" applyAlignment="1">
      <alignment vertical="center" wrapText="1"/>
    </xf>
    <xf numFmtId="0" fontId="1" fillId="34" borderId="96" xfId="0" applyNumberFormat="1" applyFont="1" applyFill="1" applyBorder="1" applyAlignment="1">
      <alignment horizontal="center" vertical="center"/>
    </xf>
    <xf numFmtId="0" fontId="1" fillId="34" borderId="30" xfId="0" applyFont="1" applyFill="1" applyBorder="1" applyAlignment="1" applyProtection="1">
      <alignment horizontal="center" vertical="center" wrapText="1"/>
      <protection/>
    </xf>
    <xf numFmtId="0" fontId="1" fillId="34" borderId="30" xfId="55" applyFont="1" applyFill="1" applyBorder="1" applyAlignment="1" applyProtection="1">
      <alignment horizontal="center" vertical="center"/>
      <protection/>
    </xf>
    <xf numFmtId="4" fontId="1" fillId="34" borderId="0" xfId="47" applyNumberFormat="1" applyFont="1" applyFill="1" applyBorder="1" applyAlignment="1">
      <alignment vertical="center"/>
    </xf>
    <xf numFmtId="0" fontId="0" fillId="0" borderId="30" xfId="0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>
      <alignment horizontal="justify" vertical="center" wrapText="1"/>
    </xf>
    <xf numFmtId="4" fontId="0" fillId="0" borderId="17" xfId="0" applyNumberFormat="1" applyBorder="1" applyAlignment="1">
      <alignment/>
    </xf>
    <xf numFmtId="2" fontId="0" fillId="0" borderId="0" xfId="0" applyNumberFormat="1" applyFont="1" applyBorder="1" applyAlignment="1">
      <alignment horizontal="right" vertical="center" wrapText="1"/>
    </xf>
    <xf numFmtId="2" fontId="0" fillId="0" borderId="0" xfId="0" applyNumberFormat="1" applyFont="1" applyBorder="1" applyAlignment="1">
      <alignment vertical="center"/>
    </xf>
    <xf numFmtId="2" fontId="1" fillId="0" borderId="18" xfId="72" applyNumberFormat="1" applyFont="1" applyFill="1" applyBorder="1" applyAlignment="1">
      <alignment horizontal="right" vertical="center"/>
    </xf>
    <xf numFmtId="2" fontId="1" fillId="0" borderId="0" xfId="72" applyNumberFormat="1" applyFont="1" applyFill="1" applyBorder="1" applyAlignment="1">
      <alignment horizontal="right" vertical="center"/>
    </xf>
    <xf numFmtId="0" fontId="0" fillId="0" borderId="96" xfId="0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0" fontId="0" fillId="0" borderId="18" xfId="0" applyFont="1" applyBorder="1" applyAlignment="1">
      <alignment horizontal="justify" vertical="center"/>
    </xf>
    <xf numFmtId="193" fontId="0" fillId="0" borderId="18" xfId="0" applyNumberFormat="1" applyFont="1" applyFill="1" applyBorder="1" applyAlignment="1">
      <alignment horizontal="center" vertical="center"/>
    </xf>
    <xf numFmtId="4" fontId="0" fillId="0" borderId="18" xfId="72" applyNumberFormat="1" applyFont="1" applyBorder="1" applyAlignment="1">
      <alignment horizontal="right" vertical="center" wrapText="1"/>
    </xf>
    <xf numFmtId="4" fontId="0" fillId="0" borderId="18" xfId="72" applyNumberFormat="1" applyFont="1" applyFill="1" applyBorder="1" applyAlignment="1">
      <alignment horizontal="right" vertical="center" wrapText="1"/>
    </xf>
    <xf numFmtId="4" fontId="0" fillId="0" borderId="100" xfId="47" applyNumberFormat="1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justify" vertical="center" wrapText="1"/>
    </xf>
    <xf numFmtId="193" fontId="0" fillId="0" borderId="17" xfId="0" applyNumberFormat="1" applyFont="1" applyFill="1" applyBorder="1" applyAlignment="1">
      <alignment horizontal="center" vertical="center"/>
    </xf>
    <xf numFmtId="4" fontId="0" fillId="0" borderId="17" xfId="72" applyNumberFormat="1" applyFont="1" applyFill="1" applyBorder="1" applyAlignment="1">
      <alignment horizontal="right" vertical="center" wrapText="1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left" vertical="center" wrapText="1"/>
    </xf>
    <xf numFmtId="4" fontId="0" fillId="39" borderId="99" xfId="47" applyNumberFormat="1" applyFont="1" applyFill="1" applyBorder="1" applyAlignment="1">
      <alignment horizontal="right" vertical="center"/>
    </xf>
    <xf numFmtId="0" fontId="9" fillId="39" borderId="19" xfId="0" applyFont="1" applyFill="1" applyBorder="1" applyAlignment="1">
      <alignment horizontal="center" vertical="center"/>
    </xf>
    <xf numFmtId="0" fontId="9" fillId="39" borderId="20" xfId="0" applyFont="1" applyFill="1" applyBorder="1" applyAlignment="1">
      <alignment vertical="center"/>
    </xf>
    <xf numFmtId="0" fontId="9" fillId="39" borderId="20" xfId="0" applyFont="1" applyFill="1" applyBorder="1" applyAlignment="1">
      <alignment horizontal="left" vertical="center"/>
    </xf>
    <xf numFmtId="0" fontId="9" fillId="39" borderId="87" xfId="0" applyFont="1" applyFill="1" applyBorder="1" applyAlignment="1">
      <alignment vertical="center"/>
    </xf>
    <xf numFmtId="0" fontId="9" fillId="39" borderId="125" xfId="0" applyFont="1" applyFill="1" applyBorder="1" applyAlignment="1">
      <alignment horizontal="center" vertical="center"/>
    </xf>
    <xf numFmtId="177" fontId="9" fillId="39" borderId="125" xfId="72" applyFont="1" applyFill="1" applyBorder="1" applyAlignment="1">
      <alignment horizontal="right" vertical="center"/>
    </xf>
    <xf numFmtId="2" fontId="9" fillId="39" borderId="125" xfId="0" applyNumberFormat="1" applyFont="1" applyFill="1" applyBorder="1" applyAlignment="1">
      <alignment horizontal="center" vertical="center"/>
    </xf>
    <xf numFmtId="0" fontId="9" fillId="39" borderId="19" xfId="0" applyFont="1" applyFill="1" applyBorder="1" applyAlignment="1">
      <alignment horizontal="center" vertical="center"/>
    </xf>
    <xf numFmtId="9" fontId="9" fillId="4" borderId="126" xfId="59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vertical="center"/>
    </xf>
    <xf numFmtId="0" fontId="13" fillId="0" borderId="26" xfId="0" applyFont="1" applyBorder="1" applyAlignment="1">
      <alignment horizontal="center" vertical="center"/>
    </xf>
    <xf numFmtId="0" fontId="0" fillId="34" borderId="116" xfId="0" applyNumberFormat="1" applyFont="1" applyFill="1" applyBorder="1" applyAlignment="1">
      <alignment horizontal="center" vertical="center"/>
    </xf>
    <xf numFmtId="0" fontId="0" fillId="34" borderId="117" xfId="0" applyFont="1" applyFill="1" applyBorder="1" applyAlignment="1" applyProtection="1">
      <alignment horizontal="center" vertical="center" wrapText="1"/>
      <protection/>
    </xf>
    <xf numFmtId="0" fontId="0" fillId="34" borderId="117" xfId="0" applyFont="1" applyFill="1" applyBorder="1" applyAlignment="1" applyProtection="1">
      <alignment horizontal="left" vertical="center" wrapText="1"/>
      <protection/>
    </xf>
    <xf numFmtId="0" fontId="0" fillId="34" borderId="117" xfId="0" applyFont="1" applyFill="1" applyBorder="1" applyAlignment="1">
      <alignment vertical="center"/>
    </xf>
    <xf numFmtId="177" fontId="1" fillId="34" borderId="117" xfId="72" applyFont="1" applyFill="1" applyBorder="1" applyAlignment="1">
      <alignment horizontal="right" vertical="center"/>
    </xf>
    <xf numFmtId="2" fontId="0" fillId="34" borderId="117" xfId="0" applyNumberFormat="1" applyFont="1" applyFill="1" applyBorder="1" applyAlignment="1">
      <alignment horizontal="center" vertical="center"/>
    </xf>
    <xf numFmtId="4" fontId="0" fillId="34" borderId="117" xfId="0" applyNumberFormat="1" applyFont="1" applyFill="1" applyBorder="1" applyAlignment="1">
      <alignment horizontal="center" vertical="center"/>
    </xf>
    <xf numFmtId="4" fontId="1" fillId="34" borderId="117" xfId="72" applyNumberFormat="1" applyFont="1" applyFill="1" applyBorder="1" applyAlignment="1">
      <alignment horizontal="right" vertical="center" wrapText="1"/>
    </xf>
    <xf numFmtId="4" fontId="1" fillId="34" borderId="99" xfId="72" applyNumberFormat="1" applyFont="1" applyFill="1" applyBorder="1" applyAlignment="1">
      <alignment vertical="center" wrapText="1"/>
    </xf>
    <xf numFmtId="0" fontId="0" fillId="34" borderId="25" xfId="0" applyNumberFormat="1" applyFont="1" applyFill="1" applyBorder="1" applyAlignment="1">
      <alignment horizontal="center" vertical="center"/>
    </xf>
    <xf numFmtId="0" fontId="0" fillId="34" borderId="95" xfId="0" applyFont="1" applyFill="1" applyBorder="1" applyAlignment="1" applyProtection="1">
      <alignment horizontal="center" vertical="center" wrapText="1"/>
      <protection/>
    </xf>
    <xf numFmtId="2" fontId="58" fillId="34" borderId="95" xfId="0" applyNumberFormat="1" applyFont="1" applyFill="1" applyBorder="1" applyAlignment="1">
      <alignment horizontal="right" vertical="center"/>
    </xf>
    <xf numFmtId="4" fontId="0" fillId="34" borderId="127" xfId="47" applyNumberFormat="1" applyFont="1" applyFill="1" applyBorder="1" applyAlignment="1">
      <alignment vertical="center" wrapText="1"/>
    </xf>
    <xf numFmtId="0" fontId="0" fillId="34" borderId="31" xfId="0" applyFont="1" applyFill="1" applyBorder="1" applyAlignment="1" applyProtection="1">
      <alignment horizontal="center" vertical="center" wrapText="1"/>
      <protection/>
    </xf>
    <xf numFmtId="40" fontId="0" fillId="34" borderId="95" xfId="72" applyNumberFormat="1" applyFont="1" applyFill="1" applyBorder="1" applyAlignment="1" applyProtection="1">
      <alignment horizontal="left" vertical="center" wrapText="1"/>
      <protection/>
    </xf>
    <xf numFmtId="0" fontId="0" fillId="34" borderId="31" xfId="55" applyFont="1" applyFill="1" applyBorder="1" applyAlignment="1" applyProtection="1">
      <alignment horizontal="center" vertical="center"/>
      <protection/>
    </xf>
    <xf numFmtId="4" fontId="0" fillId="34" borderId="101" xfId="47" applyNumberFormat="1" applyFont="1" applyFill="1" applyBorder="1" applyAlignment="1">
      <alignment vertical="center" wrapText="1"/>
    </xf>
    <xf numFmtId="0" fontId="1" fillId="34" borderId="116" xfId="0" applyNumberFormat="1" applyFont="1" applyFill="1" applyBorder="1" applyAlignment="1">
      <alignment horizontal="justify" vertical="center"/>
    </xf>
    <xf numFmtId="4" fontId="0" fillId="34" borderId="117" xfId="72" applyNumberFormat="1" applyFont="1" applyFill="1" applyBorder="1" applyAlignment="1">
      <alignment horizontal="right" vertical="center" wrapText="1"/>
    </xf>
    <xf numFmtId="0" fontId="1" fillId="34" borderId="117" xfId="0" applyFont="1" applyFill="1" applyBorder="1" applyAlignment="1">
      <alignment horizontal="left" vertical="center" wrapText="1"/>
    </xf>
    <xf numFmtId="177" fontId="0" fillId="34" borderId="117" xfId="72" applyFont="1" applyFill="1" applyBorder="1" applyAlignment="1">
      <alignment horizontal="right" vertical="center" wrapText="1"/>
    </xf>
    <xf numFmtId="2" fontId="0" fillId="34" borderId="117" xfId="72" applyNumberFormat="1" applyFont="1" applyFill="1" applyBorder="1" applyAlignment="1">
      <alignment horizontal="right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95" xfId="0" applyNumberFormat="1" applyFont="1" applyFill="1" applyBorder="1" applyAlignment="1">
      <alignment horizontal="center" vertical="center"/>
    </xf>
    <xf numFmtId="0" fontId="0" fillId="0" borderId="95" xfId="0" applyNumberFormat="1" applyFont="1" applyFill="1" applyBorder="1" applyAlignment="1">
      <alignment vertical="center" wrapText="1"/>
    </xf>
    <xf numFmtId="0" fontId="0" fillId="0" borderId="95" xfId="0" applyNumberFormat="1" applyFont="1" applyFill="1" applyBorder="1" applyAlignment="1">
      <alignment horizontal="center" vertical="center" wrapText="1"/>
    </xf>
    <xf numFmtId="193" fontId="0" fillId="0" borderId="95" xfId="0" applyNumberFormat="1" applyFont="1" applyFill="1" applyBorder="1" applyAlignment="1">
      <alignment horizontal="center" vertical="center"/>
    </xf>
    <xf numFmtId="4" fontId="0" fillId="0" borderId="91" xfId="72" applyNumberFormat="1" applyFont="1" applyBorder="1" applyAlignment="1">
      <alignment horizontal="right" vertical="center" wrapText="1"/>
    </xf>
    <xf numFmtId="4" fontId="0" fillId="0" borderId="95" xfId="72" applyNumberFormat="1" applyFont="1" applyFill="1" applyBorder="1" applyAlignment="1">
      <alignment horizontal="right" vertical="center" wrapText="1"/>
    </xf>
    <xf numFmtId="4" fontId="0" fillId="0" borderId="101" xfId="47" applyNumberFormat="1" applyFont="1" applyFill="1" applyBorder="1" applyAlignment="1">
      <alignment horizontal="right" vertical="center" wrapText="1"/>
    </xf>
    <xf numFmtId="0" fontId="1" fillId="0" borderId="116" xfId="0" applyNumberFormat="1" applyFont="1" applyFill="1" applyBorder="1" applyAlignment="1">
      <alignment horizontal="center" vertical="center"/>
    </xf>
    <xf numFmtId="0" fontId="1" fillId="0" borderId="117" xfId="0" applyNumberFormat="1" applyFont="1" applyFill="1" applyBorder="1" applyAlignment="1">
      <alignment horizontal="center" vertical="center"/>
    </xf>
    <xf numFmtId="0" fontId="1" fillId="0" borderId="117" xfId="0" applyNumberFormat="1" applyFont="1" applyFill="1" applyBorder="1" applyAlignment="1">
      <alignment horizontal="center" vertical="center" wrapText="1"/>
    </xf>
    <xf numFmtId="0" fontId="0" fillId="0" borderId="117" xfId="0" applyNumberFormat="1" applyFont="1" applyFill="1" applyBorder="1" applyAlignment="1">
      <alignment horizontal="center" vertical="center" wrapText="1"/>
    </xf>
    <xf numFmtId="4" fontId="1" fillId="0" borderId="117" xfId="72" applyNumberFormat="1" applyFont="1" applyFill="1" applyBorder="1" applyAlignment="1">
      <alignment horizontal="right" vertical="center" wrapText="1"/>
    </xf>
    <xf numFmtId="4" fontId="1" fillId="0" borderId="99" xfId="47" applyNumberFormat="1" applyFont="1" applyFill="1" applyBorder="1" applyAlignment="1">
      <alignment horizontal="right" vertical="center" wrapText="1"/>
    </xf>
    <xf numFmtId="0" fontId="102" fillId="34" borderId="95" xfId="53" applyFont="1" applyFill="1" applyBorder="1" applyAlignment="1">
      <alignment horizontal="center" vertical="center" wrapText="1"/>
      <protection/>
    </xf>
    <xf numFmtId="0" fontId="102" fillId="34" borderId="95" xfId="53" applyFont="1" applyFill="1" applyBorder="1" applyAlignment="1">
      <alignment horizontal="left" vertical="center" wrapText="1"/>
      <protection/>
    </xf>
    <xf numFmtId="0" fontId="0" fillId="34" borderId="95" xfId="0" applyNumberFormat="1" applyFont="1" applyFill="1" applyBorder="1" applyAlignment="1">
      <alignment horizontal="center" vertical="center" wrapText="1"/>
    </xf>
    <xf numFmtId="177" fontId="102" fillId="34" borderId="95" xfId="72" applyFont="1" applyFill="1" applyBorder="1" applyAlignment="1">
      <alignment horizontal="right" vertical="center" wrapText="1"/>
    </xf>
    <xf numFmtId="2" fontId="102" fillId="34" borderId="95" xfId="72" applyNumberFormat="1" applyFont="1" applyFill="1" applyBorder="1" applyAlignment="1">
      <alignment horizontal="center" vertical="center" wrapText="1"/>
    </xf>
    <xf numFmtId="4" fontId="0" fillId="34" borderId="95" xfId="72" applyNumberFormat="1" applyFont="1" applyFill="1" applyBorder="1" applyAlignment="1">
      <alignment horizontal="center" vertical="center" wrapText="1"/>
    </xf>
    <xf numFmtId="0" fontId="1" fillId="34" borderId="116" xfId="0" applyNumberFormat="1" applyFont="1" applyFill="1" applyBorder="1" applyAlignment="1">
      <alignment horizontal="center" vertical="center"/>
    </xf>
    <xf numFmtId="0" fontId="1" fillId="34" borderId="117" xfId="0" applyNumberFormat="1" applyFont="1" applyFill="1" applyBorder="1" applyAlignment="1">
      <alignment horizontal="center" vertical="center"/>
    </xf>
    <xf numFmtId="0" fontId="1" fillId="34" borderId="117" xfId="0" applyNumberFormat="1" applyFont="1" applyFill="1" applyBorder="1" applyAlignment="1">
      <alignment horizontal="left" vertical="center" wrapText="1"/>
    </xf>
    <xf numFmtId="0" fontId="0" fillId="34" borderId="117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9" fillId="39" borderId="19" xfId="0" applyFont="1" applyFill="1" applyBorder="1" applyAlignment="1">
      <alignment horizontal="center" vertical="center"/>
    </xf>
    <xf numFmtId="177" fontId="1" fillId="0" borderId="15" xfId="72" applyFont="1" applyBorder="1" applyAlignment="1">
      <alignment horizontal="right" vertical="center"/>
    </xf>
    <xf numFmtId="177" fontId="1" fillId="0" borderId="103" xfId="72" applyFont="1" applyBorder="1" applyAlignment="1">
      <alignment horizontal="right" vertical="center"/>
    </xf>
    <xf numFmtId="0" fontId="1" fillId="39" borderId="20" xfId="0" applyFont="1" applyFill="1" applyBorder="1" applyAlignment="1">
      <alignment horizontal="left" vertical="center"/>
    </xf>
    <xf numFmtId="177" fontId="1" fillId="0" borderId="127" xfId="72" applyFont="1" applyBorder="1" applyAlignment="1">
      <alignment horizontal="right" vertical="center"/>
    </xf>
    <xf numFmtId="0" fontId="9" fillId="39" borderId="19" xfId="0" applyFont="1" applyFill="1" applyBorder="1" applyAlignment="1">
      <alignment horizontal="center" vertical="center"/>
    </xf>
    <xf numFmtId="214" fontId="0" fillId="7" borderId="17" xfId="0" applyNumberFormat="1" applyFont="1" applyFill="1" applyBorder="1" applyAlignment="1">
      <alignment horizontal="center" vertical="center" wrapText="1"/>
    </xf>
    <xf numFmtId="0" fontId="1" fillId="36" borderId="97" xfId="0" applyFont="1" applyFill="1" applyBorder="1" applyAlignment="1">
      <alignment horizontal="center" vertical="center" wrapText="1"/>
    </xf>
    <xf numFmtId="214" fontId="0" fillId="7" borderId="15" xfId="0" applyNumberFormat="1" applyFont="1" applyFill="1" applyBorder="1" applyAlignment="1">
      <alignment horizontal="center" vertical="center" wrapText="1"/>
    </xf>
    <xf numFmtId="0" fontId="91" fillId="0" borderId="14" xfId="0" applyFont="1" applyBorder="1" applyAlignment="1" applyProtection="1">
      <alignment wrapText="1"/>
      <protection/>
    </xf>
    <xf numFmtId="214" fontId="0" fillId="0" borderId="0" xfId="0" applyNumberFormat="1" applyAlignment="1">
      <alignment/>
    </xf>
    <xf numFmtId="0" fontId="1" fillId="37" borderId="51" xfId="0" applyNumberFormat="1" applyFont="1" applyFill="1" applyBorder="1" applyAlignment="1">
      <alignment horizontal="center" vertical="center"/>
    </xf>
    <xf numFmtId="0" fontId="1" fillId="36" borderId="118" xfId="0" applyFont="1" applyFill="1" applyBorder="1" applyAlignment="1">
      <alignment horizontal="center" vertical="center" wrapText="1"/>
    </xf>
    <xf numFmtId="0" fontId="27" fillId="37" borderId="119" xfId="0" applyFont="1" applyFill="1" applyBorder="1" applyAlignment="1">
      <alignment horizontal="center" vertical="center" wrapText="1"/>
    </xf>
    <xf numFmtId="0" fontId="27" fillId="37" borderId="128" xfId="0" applyFont="1" applyFill="1" applyBorder="1" applyAlignment="1">
      <alignment horizontal="center" vertical="center" wrapText="1"/>
    </xf>
    <xf numFmtId="0" fontId="27" fillId="37" borderId="120" xfId="0" applyFont="1" applyFill="1" applyBorder="1" applyAlignment="1">
      <alignment horizontal="center" vertical="center" wrapText="1"/>
    </xf>
    <xf numFmtId="214" fontId="1" fillId="7" borderId="105" xfId="0" applyNumberFormat="1" applyFont="1" applyFill="1" applyBorder="1" applyAlignment="1">
      <alignment horizontal="center" vertical="center" wrapText="1"/>
    </xf>
    <xf numFmtId="214" fontId="0" fillId="7" borderId="24" xfId="0" applyNumberFormat="1" applyFont="1" applyFill="1" applyBorder="1" applyAlignment="1">
      <alignment horizontal="center" vertical="center" wrapText="1"/>
    </xf>
    <xf numFmtId="214" fontId="0" fillId="7" borderId="102" xfId="0" applyNumberFormat="1" applyFont="1" applyFill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center" vertical="center" wrapText="1"/>
    </xf>
    <xf numFmtId="0" fontId="1" fillId="36" borderId="98" xfId="0" applyFont="1" applyFill="1" applyBorder="1" applyAlignment="1">
      <alignment horizontal="center" vertical="center" wrapText="1"/>
    </xf>
    <xf numFmtId="214" fontId="0" fillId="7" borderId="26" xfId="0" applyNumberFormat="1" applyFont="1" applyFill="1" applyBorder="1" applyAlignment="1">
      <alignment horizontal="center" vertical="center" wrapText="1"/>
    </xf>
    <xf numFmtId="214" fontId="0" fillId="7" borderId="103" xfId="0" applyNumberFormat="1" applyFont="1" applyFill="1" applyBorder="1" applyAlignment="1">
      <alignment horizontal="center" vertical="center" wrapText="1"/>
    </xf>
    <xf numFmtId="0" fontId="0" fillId="0" borderId="91" xfId="44" applyFont="1" applyBorder="1" applyAlignment="1" applyProtection="1">
      <alignment horizontal="center" vertical="center"/>
      <protection/>
    </xf>
    <xf numFmtId="0" fontId="0" fillId="0" borderId="91" xfId="0" applyFont="1" applyBorder="1" applyAlignment="1">
      <alignment horizontal="left" vertical="center" wrapText="1"/>
    </xf>
    <xf numFmtId="0" fontId="0" fillId="34" borderId="91" xfId="55" applyFont="1" applyFill="1" applyBorder="1" applyAlignment="1" applyProtection="1">
      <alignment horizontal="center" vertical="center"/>
      <protection/>
    </xf>
    <xf numFmtId="0" fontId="0" fillId="34" borderId="18" xfId="0" applyFont="1" applyFill="1" applyBorder="1" applyAlignment="1" applyProtection="1">
      <alignment horizontal="center" vertical="center" wrapText="1"/>
      <protection/>
    </xf>
    <xf numFmtId="0" fontId="0" fillId="0" borderId="95" xfId="0" applyFont="1" applyBorder="1" applyAlignment="1">
      <alignment vertical="center" wrapText="1"/>
    </xf>
    <xf numFmtId="0" fontId="0" fillId="34" borderId="95" xfId="55" applyFont="1" applyFill="1" applyBorder="1" applyAlignment="1" applyProtection="1">
      <alignment horizontal="center" vertical="center"/>
      <protection/>
    </xf>
    <xf numFmtId="0" fontId="1" fillId="39" borderId="129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193" fontId="0" fillId="37" borderId="104" xfId="0" applyNumberFormat="1" applyFont="1" applyFill="1" applyBorder="1" applyAlignment="1">
      <alignment horizontal="center" vertical="center"/>
    </xf>
    <xf numFmtId="177" fontId="1" fillId="37" borderId="130" xfId="72" applyFont="1" applyFill="1" applyBorder="1" applyAlignment="1">
      <alignment horizontal="center" vertical="center"/>
    </xf>
    <xf numFmtId="2" fontId="1" fillId="37" borderId="13" xfId="0" applyNumberFormat="1" applyFont="1" applyFill="1" applyBorder="1" applyAlignment="1">
      <alignment horizontal="center" vertical="center"/>
    </xf>
    <xf numFmtId="193" fontId="1" fillId="37" borderId="13" xfId="0" applyNumberFormat="1" applyFont="1" applyFill="1" applyBorder="1" applyAlignment="1">
      <alignment horizontal="center" vertical="center"/>
    </xf>
    <xf numFmtId="0" fontId="1" fillId="39" borderId="131" xfId="0" applyFont="1" applyFill="1" applyBorder="1" applyAlignment="1">
      <alignment horizontal="center" vertical="center"/>
    </xf>
    <xf numFmtId="183" fontId="0" fillId="0" borderId="91" xfId="47" applyFont="1" applyBorder="1" applyAlignment="1">
      <alignment horizontal="center" vertical="center"/>
    </xf>
    <xf numFmtId="183" fontId="0" fillId="34" borderId="17" xfId="47" applyFont="1" applyFill="1" applyBorder="1" applyAlignment="1">
      <alignment horizontal="center" vertical="center"/>
    </xf>
    <xf numFmtId="2" fontId="0" fillId="2" borderId="28" xfId="47" applyNumberFormat="1" applyFont="1" applyFill="1" applyBorder="1" applyAlignment="1">
      <alignment horizontal="right" vertical="center" wrapText="1"/>
    </xf>
    <xf numFmtId="2" fontId="0" fillId="2" borderId="16" xfId="0" applyNumberFormat="1" applyFont="1" applyFill="1" applyBorder="1" applyAlignment="1">
      <alignment horizontal="center" vertical="center"/>
    </xf>
    <xf numFmtId="43" fontId="0" fillId="2" borderId="28" xfId="0" applyNumberFormat="1" applyFont="1" applyFill="1" applyBorder="1" applyAlignment="1">
      <alignment vertical="center"/>
    </xf>
    <xf numFmtId="43" fontId="0" fillId="2" borderId="16" xfId="0" applyNumberFormat="1" applyFont="1" applyFill="1" applyBorder="1" applyAlignment="1">
      <alignment vertical="center" wrapText="1"/>
    </xf>
    <xf numFmtId="0" fontId="0" fillId="2" borderId="29" xfId="0" applyNumberFormat="1" applyFont="1" applyFill="1" applyBorder="1" applyAlignment="1">
      <alignment vertical="center" wrapText="1"/>
    </xf>
    <xf numFmtId="0" fontId="0" fillId="2" borderId="0" xfId="47" applyNumberFormat="1" applyFont="1" applyFill="1" applyBorder="1" applyAlignment="1">
      <alignment horizontal="right" vertical="center" wrapText="1"/>
    </xf>
    <xf numFmtId="0" fontId="0" fillId="2" borderId="132" xfId="0" applyNumberFormat="1" applyFont="1" applyFill="1" applyBorder="1" applyAlignment="1">
      <alignment horizontal="center" vertical="center"/>
    </xf>
    <xf numFmtId="0" fontId="0" fillId="2" borderId="0" xfId="0" applyNumberFormat="1" applyFont="1" applyFill="1" applyBorder="1" applyAlignment="1">
      <alignment horizontal="center" vertical="center"/>
    </xf>
    <xf numFmtId="0" fontId="0" fillId="2" borderId="132" xfId="0" applyNumberFormat="1" applyFont="1" applyFill="1" applyBorder="1" applyAlignment="1">
      <alignment vertical="center"/>
    </xf>
    <xf numFmtId="0" fontId="0" fillId="2" borderId="27" xfId="0" applyNumberFormat="1" applyFont="1" applyFill="1" applyBorder="1" applyAlignment="1">
      <alignment vertical="center"/>
    </xf>
    <xf numFmtId="0" fontId="0" fillId="2" borderId="28" xfId="47" applyNumberFormat="1" applyFont="1" applyFill="1" applyBorder="1" applyAlignment="1">
      <alignment horizontal="right" vertical="center" wrapText="1"/>
    </xf>
    <xf numFmtId="0" fontId="0" fillId="2" borderId="28" xfId="0" applyNumberFormat="1" applyFont="1" applyFill="1" applyBorder="1" applyAlignment="1">
      <alignment horizontal="center" vertical="center"/>
    </xf>
    <xf numFmtId="0" fontId="0" fillId="2" borderId="16" xfId="0" applyNumberFormat="1" applyFont="1" applyFill="1" applyBorder="1" applyAlignment="1">
      <alignment vertical="center"/>
    </xf>
    <xf numFmtId="0" fontId="0" fillId="2" borderId="29" xfId="0" applyNumberFormat="1" applyFont="1" applyFill="1" applyBorder="1" applyAlignment="1">
      <alignment vertical="center"/>
    </xf>
    <xf numFmtId="0" fontId="0" fillId="2" borderId="13" xfId="47" applyNumberFormat="1" applyFont="1" applyFill="1" applyBorder="1" applyAlignment="1">
      <alignment horizontal="right" vertical="center" wrapText="1"/>
    </xf>
    <xf numFmtId="0" fontId="0" fillId="2" borderId="13" xfId="0" applyNumberFormat="1" applyFont="1" applyFill="1" applyBorder="1" applyAlignment="1">
      <alignment horizontal="center" vertical="center"/>
    </xf>
    <xf numFmtId="0" fontId="0" fillId="2" borderId="126" xfId="0" applyNumberFormat="1" applyFont="1" applyFill="1" applyBorder="1" applyAlignment="1">
      <alignment vertical="center"/>
    </xf>
    <xf numFmtId="0" fontId="0" fillId="2" borderId="23" xfId="0" applyNumberFormat="1" applyFont="1" applyFill="1" applyBorder="1" applyAlignment="1">
      <alignment vertical="center"/>
    </xf>
    <xf numFmtId="177" fontId="1" fillId="34" borderId="51" xfId="72" applyFont="1" applyFill="1" applyBorder="1" applyAlignment="1">
      <alignment horizontal="right" vertical="center" wrapText="1"/>
    </xf>
    <xf numFmtId="177" fontId="0" fillId="0" borderId="17" xfId="72" applyFont="1" applyBorder="1" applyAlignment="1">
      <alignment horizontal="right" vertical="center"/>
    </xf>
    <xf numFmtId="4" fontId="0" fillId="34" borderId="51" xfId="72" applyNumberFormat="1" applyFont="1" applyFill="1" applyBorder="1" applyAlignment="1">
      <alignment horizontal="right" vertical="center" wrapText="1"/>
    </xf>
    <xf numFmtId="4" fontId="1" fillId="34" borderId="105" xfId="47" applyNumberFormat="1" applyFont="1" applyFill="1" applyBorder="1" applyAlignment="1">
      <alignment vertical="center" wrapText="1"/>
    </xf>
    <xf numFmtId="169" fontId="0" fillId="0" borderId="17" xfId="0" applyNumberFormat="1" applyFont="1" applyFill="1" applyBorder="1" applyAlignment="1">
      <alignment vertical="center"/>
    </xf>
    <xf numFmtId="0" fontId="1" fillId="39" borderId="133" xfId="0" applyFont="1" applyFill="1" applyBorder="1" applyAlignment="1">
      <alignment horizontal="center" vertical="center"/>
    </xf>
    <xf numFmtId="0" fontId="0" fillId="34" borderId="17" xfId="55" applyFont="1" applyFill="1" applyBorder="1" applyAlignment="1" applyProtection="1">
      <alignment horizontal="center" vertical="center"/>
      <protection/>
    </xf>
    <xf numFmtId="218" fontId="0" fillId="0" borderId="17" xfId="0" applyNumberFormat="1" applyFont="1" applyFill="1" applyBorder="1" applyAlignment="1">
      <alignment vertical="center"/>
    </xf>
    <xf numFmtId="183" fontId="1" fillId="37" borderId="13" xfId="47" applyFont="1" applyFill="1" applyBorder="1" applyAlignment="1">
      <alignment horizontal="center" vertical="center"/>
    </xf>
    <xf numFmtId="183" fontId="0" fillId="34" borderId="100" xfId="47" applyFont="1" applyFill="1" applyBorder="1" applyAlignment="1">
      <alignment vertical="center" wrapText="1"/>
    </xf>
    <xf numFmtId="183" fontId="0" fillId="39" borderId="99" xfId="47" applyFont="1" applyFill="1" applyBorder="1" applyAlignment="1">
      <alignment vertical="center"/>
    </xf>
    <xf numFmtId="183" fontId="0" fillId="34" borderId="17" xfId="47" applyFont="1" applyFill="1" applyBorder="1" applyAlignment="1">
      <alignment horizontal="right" vertical="center" wrapText="1"/>
    </xf>
    <xf numFmtId="4" fontId="0" fillId="39" borderId="119" xfId="72" applyNumberFormat="1" applyFont="1" applyFill="1" applyBorder="1" applyAlignment="1">
      <alignment horizontal="right" vertical="center"/>
    </xf>
    <xf numFmtId="183" fontId="0" fillId="39" borderId="119" xfId="47" applyFont="1" applyFill="1" applyBorder="1" applyAlignment="1">
      <alignment horizontal="right" vertical="center" wrapText="1"/>
    </xf>
    <xf numFmtId="0" fontId="0" fillId="39" borderId="17" xfId="0" applyFont="1" applyFill="1" applyBorder="1" applyAlignment="1">
      <alignment horizontal="center" vertical="center"/>
    </xf>
    <xf numFmtId="218" fontId="1" fillId="39" borderId="131" xfId="0" applyNumberFormat="1" applyFont="1" applyFill="1" applyBorder="1" applyAlignment="1">
      <alignment horizontal="center" vertical="center"/>
    </xf>
    <xf numFmtId="0" fontId="9" fillId="39" borderId="0" xfId="0" applyFont="1" applyFill="1" applyBorder="1" applyAlignment="1">
      <alignment vertical="center"/>
    </xf>
    <xf numFmtId="9" fontId="1" fillId="39" borderId="125" xfId="59" applyFont="1" applyFill="1" applyBorder="1" applyAlignment="1">
      <alignment horizontal="center" vertical="center"/>
    </xf>
    <xf numFmtId="183" fontId="0" fillId="34" borderId="18" xfId="47" applyFont="1" applyFill="1" applyBorder="1" applyAlignment="1">
      <alignment horizontal="center" vertical="center"/>
    </xf>
    <xf numFmtId="183" fontId="0" fillId="34" borderId="95" xfId="47" applyFont="1" applyFill="1" applyBorder="1" applyAlignment="1">
      <alignment horizontal="center" vertical="center"/>
    </xf>
    <xf numFmtId="183" fontId="0" fillId="34" borderId="17" xfId="47" applyFont="1" applyFill="1" applyBorder="1" applyAlignment="1">
      <alignment horizontal="center" vertical="center" wrapText="1"/>
    </xf>
    <xf numFmtId="183" fontId="103" fillId="0" borderId="17" xfId="47" applyFont="1" applyBorder="1" applyAlignment="1">
      <alignment/>
    </xf>
    <xf numFmtId="183" fontId="1" fillId="0" borderId="10" xfId="47" applyFont="1" applyFill="1" applyBorder="1" applyAlignment="1">
      <alignment horizontal="center" vertical="center"/>
    </xf>
    <xf numFmtId="183" fontId="0" fillId="0" borderId="125" xfId="47" applyFont="1" applyFill="1" applyBorder="1" applyAlignment="1">
      <alignment horizontal="center" vertical="center"/>
    </xf>
    <xf numFmtId="183" fontId="1" fillId="0" borderId="104" xfId="47" applyFont="1" applyFill="1" applyBorder="1" applyAlignment="1">
      <alignment horizontal="right" vertical="center"/>
    </xf>
    <xf numFmtId="10" fontId="1" fillId="0" borderId="134" xfId="0" applyNumberFormat="1" applyFont="1" applyFill="1" applyBorder="1" applyAlignment="1">
      <alignment horizontal="center" vertical="center"/>
    </xf>
    <xf numFmtId="4" fontId="8" fillId="0" borderId="126" xfId="0" applyNumberFormat="1" applyFont="1" applyFill="1" applyBorder="1" applyAlignment="1">
      <alignment/>
    </xf>
    <xf numFmtId="10" fontId="8" fillId="0" borderId="126" xfId="59" applyNumberFormat="1" applyFont="1" applyFill="1" applyBorder="1" applyAlignment="1">
      <alignment/>
    </xf>
    <xf numFmtId="0" fontId="33" fillId="38" borderId="92" xfId="0" applyFont="1" applyFill="1" applyBorder="1" applyAlignment="1">
      <alignment horizontal="left" vertical="top" wrapText="1"/>
    </xf>
    <xf numFmtId="0" fontId="23" fillId="35" borderId="93" xfId="0" applyFont="1" applyFill="1" applyBorder="1" applyAlignment="1" applyProtection="1">
      <alignment horizontal="left" vertical="center" wrapText="1"/>
      <protection/>
    </xf>
    <xf numFmtId="0" fontId="23" fillId="35" borderId="28" xfId="0" applyFont="1" applyFill="1" applyBorder="1" applyAlignment="1" applyProtection="1">
      <alignment horizontal="left" vertical="center" wrapText="1"/>
      <protection/>
    </xf>
    <xf numFmtId="0" fontId="23" fillId="35" borderId="29" xfId="0" applyFont="1" applyFill="1" applyBorder="1" applyAlignment="1" applyProtection="1">
      <alignment horizontal="left" vertical="center" wrapText="1"/>
      <protection/>
    </xf>
    <xf numFmtId="0" fontId="23" fillId="35" borderId="110" xfId="0" applyFont="1" applyFill="1" applyBorder="1" applyAlignment="1" applyProtection="1">
      <alignment horizontal="left" vertical="center" wrapText="1"/>
      <protection/>
    </xf>
    <xf numFmtId="0" fontId="23" fillId="35" borderId="31" xfId="0" applyFont="1" applyFill="1" applyBorder="1" applyAlignment="1" applyProtection="1">
      <alignment horizontal="left" vertical="center" wrapText="1"/>
      <protection/>
    </xf>
    <xf numFmtId="0" fontId="23" fillId="35" borderId="111" xfId="0" applyFont="1" applyFill="1" applyBorder="1" applyAlignment="1" applyProtection="1">
      <alignment horizontal="left" vertical="center" wrapText="1"/>
      <protection/>
    </xf>
    <xf numFmtId="0" fontId="29" fillId="0" borderId="93" xfId="0" applyFont="1" applyBorder="1" applyAlignment="1" applyProtection="1">
      <alignment horizontal="center" vertical="center" wrapText="1"/>
      <protection/>
    </xf>
    <xf numFmtId="0" fontId="29" fillId="0" borderId="28" xfId="0" applyFont="1" applyBorder="1" applyAlignment="1" applyProtection="1">
      <alignment horizontal="center" vertical="center" wrapText="1"/>
      <protection/>
    </xf>
    <xf numFmtId="0" fontId="29" fillId="0" borderId="29" xfId="0" applyFont="1" applyBorder="1" applyAlignment="1" applyProtection="1">
      <alignment horizontal="center" vertical="center" wrapText="1"/>
      <protection/>
    </xf>
    <xf numFmtId="0" fontId="98" fillId="37" borderId="122" xfId="0" applyFont="1" applyFill="1" applyBorder="1" applyAlignment="1">
      <alignment horizontal="left" vertical="top" wrapText="1"/>
    </xf>
    <xf numFmtId="0" fontId="33" fillId="38" borderId="108" xfId="0" applyFont="1" applyFill="1" applyBorder="1" applyAlignment="1">
      <alignment horizontal="left" vertical="top" wrapText="1"/>
    </xf>
    <xf numFmtId="0" fontId="98" fillId="37" borderId="135" xfId="0" applyFont="1" applyFill="1" applyBorder="1" applyAlignment="1">
      <alignment horizontal="left" vertical="top" wrapText="1"/>
    </xf>
    <xf numFmtId="0" fontId="98" fillId="37" borderId="136" xfId="0" applyFont="1" applyFill="1" applyBorder="1" applyAlignment="1">
      <alignment horizontal="left" vertical="top" wrapText="1"/>
    </xf>
    <xf numFmtId="0" fontId="68" fillId="0" borderId="19" xfId="0" applyFont="1" applyBorder="1" applyAlignment="1">
      <alignment horizontal="center" vertical="center"/>
    </xf>
    <xf numFmtId="0" fontId="68" fillId="0" borderId="20" xfId="0" applyFont="1" applyBorder="1" applyAlignment="1">
      <alignment horizontal="center" vertical="center"/>
    </xf>
    <xf numFmtId="0" fontId="68" fillId="0" borderId="87" xfId="0" applyFont="1" applyBorder="1" applyAlignment="1">
      <alignment horizontal="center" vertical="center"/>
    </xf>
    <xf numFmtId="177" fontId="1" fillId="37" borderId="118" xfId="72" applyFont="1" applyFill="1" applyBorder="1" applyAlignment="1">
      <alignment horizontal="center" vertical="center"/>
    </xf>
    <xf numFmtId="177" fontId="1" fillId="37" borderId="104" xfId="72" applyFont="1" applyFill="1" applyBorder="1" applyAlignment="1">
      <alignment horizontal="center" vertical="center"/>
    </xf>
    <xf numFmtId="193" fontId="1" fillId="37" borderId="87" xfId="0" applyNumberFormat="1" applyFont="1" applyFill="1" applyBorder="1" applyAlignment="1">
      <alignment horizontal="center" vertical="center"/>
    </xf>
    <xf numFmtId="193" fontId="1" fillId="37" borderId="23" xfId="0" applyNumberFormat="1" applyFont="1" applyFill="1" applyBorder="1" applyAlignment="1">
      <alignment horizontal="center" vertical="center"/>
    </xf>
    <xf numFmtId="0" fontId="1" fillId="37" borderId="119" xfId="0" applyNumberFormat="1" applyFont="1" applyFill="1" applyBorder="1" applyAlignment="1">
      <alignment horizontal="center" vertical="center"/>
    </xf>
    <xf numFmtId="0" fontId="1" fillId="37" borderId="51" xfId="0" applyNumberFormat="1" applyFont="1" applyFill="1" applyBorder="1" applyAlignment="1">
      <alignment horizontal="center" vertical="center"/>
    </xf>
    <xf numFmtId="0" fontId="1" fillId="37" borderId="137" xfId="0" applyNumberFormat="1" applyFont="1" applyFill="1" applyBorder="1" applyAlignment="1">
      <alignment horizontal="center" vertical="center" wrapText="1"/>
    </xf>
    <xf numFmtId="193" fontId="0" fillId="37" borderId="138" xfId="0" applyNumberFormat="1" applyFont="1" applyFill="1" applyBorder="1" applyAlignment="1">
      <alignment horizontal="center" vertical="center" wrapText="1"/>
    </xf>
    <xf numFmtId="0" fontId="69" fillId="0" borderId="22" xfId="0" applyFont="1" applyBorder="1" applyAlignment="1">
      <alignment horizontal="center" vertical="center"/>
    </xf>
    <xf numFmtId="0" fontId="69" fillId="0" borderId="13" xfId="0" applyFont="1" applyBorder="1" applyAlignment="1">
      <alignment horizontal="center" vertical="center"/>
    </xf>
    <xf numFmtId="0" fontId="69" fillId="0" borderId="2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93" fontId="1" fillId="37" borderId="125" xfId="0" applyNumberFormat="1" applyFont="1" applyFill="1" applyBorder="1" applyAlignment="1">
      <alignment horizontal="center" vertical="center"/>
    </xf>
    <xf numFmtId="193" fontId="1" fillId="37" borderId="126" xfId="0" applyNumberFormat="1" applyFont="1" applyFill="1" applyBorder="1" applyAlignment="1">
      <alignment horizontal="center" vertical="center"/>
    </xf>
    <xf numFmtId="0" fontId="70" fillId="0" borderId="21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70" fillId="0" borderId="27" xfId="0" applyFont="1" applyBorder="1" applyAlignment="1">
      <alignment horizontal="center" vertical="center"/>
    </xf>
    <xf numFmtId="0" fontId="9" fillId="4" borderId="22" xfId="0" applyFont="1" applyFill="1" applyBorder="1" applyAlignment="1">
      <alignment horizontal="right" vertical="center"/>
    </xf>
    <xf numFmtId="0" fontId="9" fillId="4" borderId="13" xfId="0" applyFont="1" applyFill="1" applyBorder="1" applyAlignment="1">
      <alignment horizontal="right" vertical="center"/>
    </xf>
    <xf numFmtId="0" fontId="1" fillId="37" borderId="97" xfId="0" applyNumberFormat="1" applyFont="1" applyFill="1" applyBorder="1" applyAlignment="1">
      <alignment horizontal="center" vertical="center"/>
    </xf>
    <xf numFmtId="193" fontId="0" fillId="37" borderId="98" xfId="0" applyNumberFormat="1" applyFont="1" applyFill="1" applyBorder="1" applyAlignment="1">
      <alignment horizontal="center" vertical="center"/>
    </xf>
    <xf numFmtId="0" fontId="1" fillId="4" borderId="93" xfId="0" applyFont="1" applyFill="1" applyBorder="1" applyAlignment="1">
      <alignment horizontal="right" vertical="center" wrapText="1"/>
    </xf>
    <xf numFmtId="0" fontId="1" fillId="4" borderId="28" xfId="0" applyFont="1" applyFill="1" applyBorder="1" applyAlignment="1">
      <alignment horizontal="right" vertical="center" wrapText="1"/>
    </xf>
    <xf numFmtId="0" fontId="1" fillId="4" borderId="139" xfId="0" applyFont="1" applyFill="1" applyBorder="1" applyAlignment="1">
      <alignment horizontal="right" vertical="center" wrapText="1"/>
    </xf>
    <xf numFmtId="2" fontId="1" fillId="37" borderId="19" xfId="0" applyNumberFormat="1" applyFont="1" applyFill="1" applyBorder="1" applyAlignment="1">
      <alignment horizontal="center" vertical="center"/>
    </xf>
    <xf numFmtId="2" fontId="1" fillId="37" borderId="22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183" fontId="13" fillId="0" borderId="17" xfId="0" applyNumberFormat="1" applyFont="1" applyFill="1" applyBorder="1" applyAlignment="1">
      <alignment horizontal="center" vertical="center"/>
    </xf>
    <xf numFmtId="183" fontId="13" fillId="0" borderId="15" xfId="0" applyNumberFormat="1" applyFont="1" applyFill="1" applyBorder="1" applyAlignment="1">
      <alignment horizontal="center" vertical="center"/>
    </xf>
    <xf numFmtId="0" fontId="1" fillId="37" borderId="24" xfId="0" applyNumberFormat="1" applyFont="1" applyFill="1" applyBorder="1" applyAlignment="1">
      <alignment horizontal="center" vertical="center" wrapText="1"/>
    </xf>
    <xf numFmtId="0" fontId="1" fillId="37" borderId="26" xfId="0" applyNumberFormat="1" applyFont="1" applyFill="1" applyBorder="1" applyAlignment="1">
      <alignment horizontal="center" vertical="center" wrapText="1"/>
    </xf>
    <xf numFmtId="183" fontId="13" fillId="0" borderId="17" xfId="0" applyNumberFormat="1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193" fontId="1" fillId="0" borderId="119" xfId="0" applyNumberFormat="1" applyFont="1" applyFill="1" applyBorder="1" applyAlignment="1">
      <alignment horizontal="center" vertical="center"/>
    </xf>
    <xf numFmtId="193" fontId="1" fillId="0" borderId="51" xfId="0" applyNumberFormat="1" applyFont="1" applyFill="1" applyBorder="1" applyAlignment="1">
      <alignment horizontal="center" vertical="center"/>
    </xf>
    <xf numFmtId="183" fontId="9" fillId="4" borderId="13" xfId="0" applyNumberFormat="1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/>
    </xf>
    <xf numFmtId="183" fontId="13" fillId="0" borderId="24" xfId="0" applyNumberFormat="1" applyFont="1" applyFill="1" applyBorder="1" applyAlignment="1">
      <alignment horizontal="left" vertical="center"/>
    </xf>
    <xf numFmtId="0" fontId="13" fillId="0" borderId="102" xfId="0" applyFont="1" applyFill="1" applyBorder="1" applyAlignment="1">
      <alignment horizontal="left" vertical="center"/>
    </xf>
    <xf numFmtId="183" fontId="13" fillId="0" borderId="26" xfId="0" applyNumberFormat="1" applyFont="1" applyFill="1" applyBorder="1" applyAlignment="1">
      <alignment horizontal="left" vertical="center"/>
    </xf>
    <xf numFmtId="0" fontId="13" fillId="0" borderId="103" xfId="0" applyFont="1" applyFill="1" applyBorder="1" applyAlignment="1">
      <alignment horizontal="left" vertical="center"/>
    </xf>
    <xf numFmtId="0" fontId="9" fillId="39" borderId="19" xfId="0" applyFont="1" applyFill="1" applyBorder="1" applyAlignment="1">
      <alignment horizontal="center" vertical="center"/>
    </xf>
    <xf numFmtId="0" fontId="9" fillId="39" borderId="87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left" vertical="center"/>
    </xf>
    <xf numFmtId="0" fontId="35" fillId="0" borderId="19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5" fillId="0" borderId="87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27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0" fontId="1" fillId="37" borderId="118" xfId="0" applyNumberFormat="1" applyFont="1" applyFill="1" applyBorder="1" applyAlignment="1">
      <alignment horizontal="center" vertical="center"/>
    </xf>
    <xf numFmtId="0" fontId="1" fillId="37" borderId="104" xfId="0" applyNumberFormat="1" applyFont="1" applyFill="1" applyBorder="1" applyAlignment="1">
      <alignment horizontal="center" vertical="center"/>
    </xf>
    <xf numFmtId="0" fontId="1" fillId="37" borderId="119" xfId="0" applyNumberFormat="1" applyFont="1" applyFill="1" applyBorder="1" applyAlignment="1">
      <alignment horizontal="center" vertical="center" wrapText="1"/>
    </xf>
    <xf numFmtId="0" fontId="1" fillId="37" borderId="51" xfId="0" applyNumberFormat="1" applyFont="1" applyFill="1" applyBorder="1" applyAlignment="1">
      <alignment horizontal="center" vertical="center" wrapText="1"/>
    </xf>
    <xf numFmtId="0" fontId="1" fillId="37" borderId="120" xfId="0" applyNumberFormat="1" applyFont="1" applyFill="1" applyBorder="1" applyAlignment="1">
      <alignment horizontal="center" vertical="center"/>
    </xf>
    <xf numFmtId="0" fontId="1" fillId="37" borderId="105" xfId="0" applyNumberFormat="1" applyFont="1" applyFill="1" applyBorder="1" applyAlignment="1">
      <alignment horizontal="center" vertical="center"/>
    </xf>
    <xf numFmtId="2" fontId="1" fillId="0" borderId="19" xfId="49" applyNumberFormat="1" applyFont="1" applyBorder="1" applyAlignment="1">
      <alignment horizontal="center" vertical="center"/>
    </xf>
    <xf numFmtId="2" fontId="1" fillId="0" borderId="22" xfId="49" applyNumberFormat="1" applyFont="1" applyBorder="1" applyAlignment="1">
      <alignment horizontal="center" vertical="center"/>
    </xf>
    <xf numFmtId="183" fontId="20" fillId="0" borderId="20" xfId="0" applyNumberFormat="1" applyFont="1" applyFill="1" applyBorder="1" applyAlignment="1">
      <alignment horizontal="center" vertical="center"/>
    </xf>
    <xf numFmtId="0" fontId="20" fillId="0" borderId="87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13" fillId="0" borderId="140" xfId="0" applyFont="1" applyFill="1" applyBorder="1" applyAlignment="1">
      <alignment horizontal="left" vertical="center"/>
    </xf>
    <xf numFmtId="0" fontId="13" fillId="0" borderId="94" xfId="0" applyFont="1" applyFill="1" applyBorder="1" applyAlignment="1">
      <alignment horizontal="left" vertical="center"/>
    </xf>
    <xf numFmtId="0" fontId="13" fillId="0" borderId="140" xfId="0" applyFont="1" applyBorder="1" applyAlignment="1">
      <alignment horizontal="center" vertical="center"/>
    </xf>
    <xf numFmtId="0" fontId="13" fillId="0" borderId="94" xfId="0" applyFont="1" applyBorder="1" applyAlignment="1">
      <alignment horizontal="center" vertical="center"/>
    </xf>
    <xf numFmtId="0" fontId="1" fillId="39" borderId="141" xfId="0" applyNumberFormat="1" applyFont="1" applyFill="1" applyBorder="1" applyAlignment="1">
      <alignment horizontal="center" vertical="center" wrapText="1"/>
    </xf>
    <xf numFmtId="0" fontId="1" fillId="39" borderId="142" xfId="0" applyNumberFormat="1" applyFont="1" applyFill="1" applyBorder="1" applyAlignment="1">
      <alignment horizontal="center" vertical="center" wrapText="1"/>
    </xf>
    <xf numFmtId="183" fontId="13" fillId="0" borderId="140" xfId="0" applyNumberFormat="1" applyFont="1" applyFill="1" applyBorder="1" applyAlignment="1">
      <alignment horizontal="center" vertical="center"/>
    </xf>
    <xf numFmtId="183" fontId="13" fillId="0" borderId="107" xfId="0" applyNumberFormat="1" applyFont="1" applyFill="1" applyBorder="1" applyAlignment="1">
      <alignment horizontal="center" vertical="center"/>
    </xf>
    <xf numFmtId="0" fontId="1" fillId="39" borderId="143" xfId="0" applyNumberFormat="1" applyFont="1" applyFill="1" applyBorder="1" applyAlignment="1">
      <alignment horizontal="center" vertical="center" wrapText="1"/>
    </xf>
    <xf numFmtId="0" fontId="1" fillId="39" borderId="28" xfId="0" applyNumberFormat="1" applyFont="1" applyFill="1" applyBorder="1" applyAlignment="1">
      <alignment horizontal="center" vertical="center" wrapText="1"/>
    </xf>
    <xf numFmtId="0" fontId="1" fillId="39" borderId="144" xfId="0" applyNumberFormat="1" applyFont="1" applyFill="1" applyBorder="1" applyAlignment="1">
      <alignment horizontal="center" vertical="center" wrapText="1"/>
    </xf>
    <xf numFmtId="0" fontId="9" fillId="39" borderId="145" xfId="0" applyFont="1" applyFill="1" applyBorder="1" applyAlignment="1">
      <alignment horizontal="center" vertical="center"/>
    </xf>
    <xf numFmtId="0" fontId="9" fillId="39" borderId="146" xfId="0" applyFont="1" applyFill="1" applyBorder="1" applyAlignment="1">
      <alignment horizontal="center" vertical="center"/>
    </xf>
    <xf numFmtId="0" fontId="1" fillId="39" borderId="147" xfId="0" applyFont="1" applyFill="1" applyBorder="1" applyAlignment="1">
      <alignment horizontal="center" vertical="center"/>
    </xf>
    <xf numFmtId="0" fontId="1" fillId="39" borderId="0" xfId="0" applyFont="1" applyFill="1" applyBorder="1" applyAlignment="1">
      <alignment horizontal="center" vertical="center"/>
    </xf>
    <xf numFmtId="0" fontId="1" fillId="39" borderId="148" xfId="0" applyFont="1" applyFill="1" applyBorder="1" applyAlignment="1">
      <alignment horizontal="center" vertical="center"/>
    </xf>
    <xf numFmtId="0" fontId="21" fillId="36" borderId="149" xfId="0" applyFont="1" applyFill="1" applyBorder="1" applyAlignment="1">
      <alignment horizontal="center" vertical="center" textRotation="90" wrapText="1"/>
    </xf>
    <xf numFmtId="0" fontId="21" fillId="36" borderId="150" xfId="0" applyFont="1" applyFill="1" applyBorder="1" applyAlignment="1">
      <alignment horizontal="center" vertical="center" textRotation="90" wrapText="1"/>
    </xf>
    <xf numFmtId="0" fontId="21" fillId="36" borderId="12" xfId="0" applyFont="1" applyFill="1" applyBorder="1" applyAlignment="1">
      <alignment horizontal="center" vertical="center" textRotation="90" wrapText="1"/>
    </xf>
    <xf numFmtId="0" fontId="1" fillId="36" borderId="151" xfId="0" applyFont="1" applyFill="1" applyBorder="1" applyAlignment="1">
      <alignment horizontal="center" vertical="center" wrapText="1"/>
    </xf>
    <xf numFmtId="0" fontId="1" fillId="36" borderId="67" xfId="0" applyFont="1" applyFill="1" applyBorder="1" applyAlignment="1">
      <alignment horizontal="center" vertical="center" wrapText="1"/>
    </xf>
    <xf numFmtId="0" fontId="27" fillId="37" borderId="152" xfId="0" applyFont="1" applyFill="1" applyBorder="1" applyAlignment="1">
      <alignment horizontal="center" vertical="center" wrapText="1"/>
    </xf>
    <xf numFmtId="0" fontId="27" fillId="37" borderId="153" xfId="0" applyFont="1" applyFill="1" applyBorder="1" applyAlignment="1">
      <alignment horizontal="center" vertical="center" wrapText="1"/>
    </xf>
    <xf numFmtId="0" fontId="104" fillId="0" borderId="0" xfId="0" applyFont="1" applyAlignment="1">
      <alignment horizontal="left" vertical="center" wrapText="1"/>
    </xf>
    <xf numFmtId="0" fontId="27" fillId="37" borderId="154" xfId="0" applyFont="1" applyFill="1" applyBorder="1" applyAlignment="1">
      <alignment horizontal="center" vertical="center" wrapText="1"/>
    </xf>
    <xf numFmtId="0" fontId="27" fillId="37" borderId="79" xfId="0" applyFont="1" applyFill="1" applyBorder="1" applyAlignment="1">
      <alignment horizontal="center" vertical="center" wrapText="1"/>
    </xf>
    <xf numFmtId="0" fontId="27" fillId="37" borderId="155" xfId="0" applyFont="1" applyFill="1" applyBorder="1" applyAlignment="1">
      <alignment horizontal="center" vertical="center" wrapText="1"/>
    </xf>
    <xf numFmtId="0" fontId="27" fillId="37" borderId="156" xfId="0" applyFont="1" applyFill="1" applyBorder="1" applyAlignment="1">
      <alignment horizontal="center" vertical="center" wrapText="1"/>
    </xf>
    <xf numFmtId="0" fontId="27" fillId="37" borderId="157" xfId="0" applyFont="1" applyFill="1" applyBorder="1" applyAlignment="1">
      <alignment horizontal="center" vertical="center" wrapText="1"/>
    </xf>
    <xf numFmtId="0" fontId="27" fillId="37" borderId="158" xfId="0" applyFont="1" applyFill="1" applyBorder="1" applyAlignment="1">
      <alignment horizontal="center" vertical="center" wrapText="1"/>
    </xf>
    <xf numFmtId="0" fontId="27" fillId="37" borderId="85" xfId="0" applyFont="1" applyFill="1" applyBorder="1" applyAlignment="1">
      <alignment horizontal="center" vertical="center" wrapText="1"/>
    </xf>
    <xf numFmtId="0" fontId="27" fillId="37" borderId="65" xfId="0" applyFont="1" applyFill="1" applyBorder="1" applyAlignment="1">
      <alignment horizontal="center" vertical="center" wrapText="1"/>
    </xf>
    <xf numFmtId="0" fontId="27" fillId="37" borderId="88" xfId="0" applyFont="1" applyFill="1" applyBorder="1" applyAlignment="1">
      <alignment horizontal="center" vertical="center" wrapText="1"/>
    </xf>
    <xf numFmtId="0" fontId="27" fillId="37" borderId="159" xfId="0" applyFont="1" applyFill="1" applyBorder="1" applyAlignment="1">
      <alignment horizontal="center" vertical="center" wrapText="1"/>
    </xf>
    <xf numFmtId="0" fontId="27" fillId="37" borderId="50" xfId="0" applyFont="1" applyFill="1" applyBorder="1" applyAlignment="1">
      <alignment horizontal="center" vertical="center" wrapText="1"/>
    </xf>
    <xf numFmtId="0" fontId="27" fillId="37" borderId="0" xfId="0" applyFont="1" applyFill="1" applyBorder="1" applyAlignment="1">
      <alignment horizontal="center" vertical="center" wrapText="1"/>
    </xf>
    <xf numFmtId="0" fontId="27" fillId="37" borderId="13" xfId="0" applyFont="1" applyFill="1" applyBorder="1" applyAlignment="1">
      <alignment horizontal="center" vertical="center" wrapText="1"/>
    </xf>
    <xf numFmtId="0" fontId="27" fillId="37" borderId="19" xfId="0" applyFont="1" applyFill="1" applyBorder="1" applyAlignment="1">
      <alignment horizontal="center" vertical="center" wrapText="1"/>
    </xf>
    <xf numFmtId="0" fontId="27" fillId="37" borderId="21" xfId="0" applyFont="1" applyFill="1" applyBorder="1" applyAlignment="1">
      <alignment horizontal="center" vertical="center" wrapText="1"/>
    </xf>
    <xf numFmtId="0" fontId="27" fillId="37" borderId="22" xfId="0" applyFont="1" applyFill="1" applyBorder="1" applyAlignment="1">
      <alignment horizontal="center" vertical="center" wrapText="1"/>
    </xf>
    <xf numFmtId="0" fontId="27" fillId="37" borderId="160" xfId="0" applyFont="1" applyFill="1" applyBorder="1" applyAlignment="1">
      <alignment horizontal="center" vertical="center" wrapText="1"/>
    </xf>
    <xf numFmtId="0" fontId="27" fillId="37" borderId="161" xfId="0" applyFont="1" applyFill="1" applyBorder="1" applyAlignment="1">
      <alignment horizontal="center" vertical="center" wrapText="1"/>
    </xf>
    <xf numFmtId="0" fontId="27" fillId="37" borderId="130" xfId="0" applyFont="1" applyFill="1" applyBorder="1" applyAlignment="1">
      <alignment horizontal="center" vertical="center" wrapText="1"/>
    </xf>
    <xf numFmtId="0" fontId="27" fillId="37" borderId="75" xfId="0" applyFont="1" applyFill="1" applyBorder="1" applyAlignment="1">
      <alignment horizontal="center" vertical="center" wrapText="1"/>
    </xf>
    <xf numFmtId="0" fontId="27" fillId="37" borderId="162" xfId="0" applyFont="1" applyFill="1" applyBorder="1" applyAlignment="1">
      <alignment horizontal="center" vertical="center" wrapText="1"/>
    </xf>
    <xf numFmtId="0" fontId="1" fillId="36" borderId="86" xfId="0" applyFont="1" applyFill="1" applyBorder="1" applyAlignment="1">
      <alignment horizontal="center" vertical="center"/>
    </xf>
    <xf numFmtId="0" fontId="27" fillId="37" borderId="163" xfId="0" applyFont="1" applyFill="1" applyBorder="1" applyAlignment="1">
      <alignment horizontal="center" vertical="center" wrapText="1"/>
    </xf>
    <xf numFmtId="0" fontId="105" fillId="0" borderId="0" xfId="0" applyFont="1" applyAlignment="1">
      <alignment horizontal="left" vertical="center" wrapText="1"/>
    </xf>
    <xf numFmtId="0" fontId="27" fillId="37" borderId="164" xfId="0" applyFont="1" applyFill="1" applyBorder="1" applyAlignment="1">
      <alignment horizontal="center" vertical="center" wrapText="1"/>
    </xf>
    <xf numFmtId="0" fontId="27" fillId="37" borderId="165" xfId="0" applyFont="1" applyFill="1" applyBorder="1" applyAlignment="1">
      <alignment horizontal="center" vertical="center" wrapText="1"/>
    </xf>
    <xf numFmtId="0" fontId="27" fillId="37" borderId="166" xfId="0" applyFont="1" applyFill="1" applyBorder="1" applyAlignment="1">
      <alignment horizontal="center" vertical="center" wrapText="1"/>
    </xf>
    <xf numFmtId="0" fontId="27" fillId="37" borderId="167" xfId="0" applyFont="1" applyFill="1" applyBorder="1" applyAlignment="1">
      <alignment horizontal="center" vertical="center" wrapText="1"/>
    </xf>
    <xf numFmtId="193" fontId="21" fillId="36" borderId="149" xfId="56" applyNumberFormat="1" applyFont="1" applyFill="1" applyBorder="1" applyAlignment="1">
      <alignment horizontal="center" vertical="center" textRotation="90" wrapText="1"/>
      <protection/>
    </xf>
    <xf numFmtId="193" fontId="21" fillId="36" borderId="168" xfId="56" applyNumberFormat="1" applyFont="1" applyFill="1" applyBorder="1" applyAlignment="1">
      <alignment horizontal="center" vertical="center" textRotation="90" wrapText="1"/>
      <protection/>
    </xf>
    <xf numFmtId="193" fontId="21" fillId="36" borderId="169" xfId="56" applyNumberFormat="1" applyFont="1" applyFill="1" applyBorder="1" applyAlignment="1">
      <alignment horizontal="center" vertical="center" textRotation="90" wrapText="1"/>
      <protection/>
    </xf>
    <xf numFmtId="193" fontId="28" fillId="36" borderId="151" xfId="56" applyNumberFormat="1" applyFont="1" applyFill="1" applyBorder="1" applyAlignment="1">
      <alignment horizontal="center" vertical="center" wrapText="1"/>
      <protection/>
    </xf>
    <xf numFmtId="193" fontId="28" fillId="36" borderId="32" xfId="56" applyNumberFormat="1" applyFont="1" applyFill="1" applyBorder="1" applyAlignment="1">
      <alignment horizontal="center" vertical="center" wrapText="1"/>
      <protection/>
    </xf>
    <xf numFmtId="193" fontId="1" fillId="37" borderId="170" xfId="56" applyNumberFormat="1" applyFont="1" applyFill="1" applyBorder="1" applyAlignment="1">
      <alignment horizontal="center" vertical="center" textRotation="90" wrapText="1"/>
      <protection/>
    </xf>
    <xf numFmtId="193" fontId="1" fillId="37" borderId="171" xfId="56" applyNumberFormat="1" applyFont="1" applyFill="1" applyBorder="1" applyAlignment="1">
      <alignment horizontal="center" vertical="center" textRotation="90" wrapText="1"/>
      <protection/>
    </xf>
    <xf numFmtId="193" fontId="27" fillId="37" borderId="172" xfId="56" applyNumberFormat="1" applyFont="1" applyFill="1" applyBorder="1" applyAlignment="1">
      <alignment horizontal="center" vertical="center" wrapText="1"/>
      <protection/>
    </xf>
    <xf numFmtId="193" fontId="27" fillId="37" borderId="173" xfId="56" applyNumberFormat="1" applyFont="1" applyFill="1" applyBorder="1" applyAlignment="1">
      <alignment horizontal="center" vertical="center" wrapText="1"/>
      <protection/>
    </xf>
    <xf numFmtId="215" fontId="0" fillId="7" borderId="35" xfId="56" applyNumberFormat="1" applyFont="1" applyFill="1" applyBorder="1" applyAlignment="1">
      <alignment horizontal="center" vertical="center" wrapText="1"/>
      <protection/>
    </xf>
    <xf numFmtId="215" fontId="0" fillId="7" borderId="38" xfId="56" applyNumberFormat="1" applyFont="1" applyFill="1" applyBorder="1" applyAlignment="1">
      <alignment horizontal="center" vertical="center" wrapText="1"/>
      <protection/>
    </xf>
    <xf numFmtId="215" fontId="0" fillId="7" borderId="36" xfId="56" applyNumberFormat="1" applyFont="1" applyFill="1" applyBorder="1" applyAlignment="1">
      <alignment horizontal="center" vertical="center" wrapText="1"/>
      <protection/>
    </xf>
    <xf numFmtId="215" fontId="0" fillId="7" borderId="39" xfId="56" applyNumberFormat="1" applyFont="1" applyFill="1" applyBorder="1" applyAlignment="1">
      <alignment horizontal="center" vertical="center" wrapText="1"/>
      <protection/>
    </xf>
    <xf numFmtId="193" fontId="1" fillId="37" borderId="174" xfId="56" applyNumberFormat="1" applyFont="1" applyFill="1" applyBorder="1" applyAlignment="1">
      <alignment horizontal="center" vertical="center" textRotation="90" wrapText="1"/>
      <protection/>
    </xf>
    <xf numFmtId="193" fontId="1" fillId="37" borderId="175" xfId="56" applyNumberFormat="1" applyFont="1" applyFill="1" applyBorder="1" applyAlignment="1">
      <alignment horizontal="center" vertical="center" textRotation="90" wrapText="1"/>
      <protection/>
    </xf>
    <xf numFmtId="193" fontId="27" fillId="37" borderId="118" xfId="56" applyNumberFormat="1" applyFont="1" applyFill="1" applyBorder="1" applyAlignment="1">
      <alignment horizontal="center" vertical="center" wrapText="1"/>
      <protection/>
    </xf>
    <xf numFmtId="193" fontId="27" fillId="37" borderId="90" xfId="56" applyNumberFormat="1" applyFont="1" applyFill="1" applyBorder="1" applyAlignment="1">
      <alignment horizontal="center" vertical="center" wrapText="1"/>
      <protection/>
    </xf>
    <xf numFmtId="193" fontId="0" fillId="7" borderId="58" xfId="56" applyNumberFormat="1" applyFont="1" applyFill="1" applyBorder="1" applyAlignment="1">
      <alignment horizontal="center" vertical="center" wrapText="1"/>
      <protection/>
    </xf>
    <xf numFmtId="193" fontId="0" fillId="7" borderId="38" xfId="56" applyNumberFormat="1" applyFont="1" applyFill="1" applyBorder="1" applyAlignment="1">
      <alignment horizontal="center" vertical="center" wrapText="1"/>
      <protection/>
    </xf>
    <xf numFmtId="193" fontId="0" fillId="7" borderId="59" xfId="56" applyNumberFormat="1" applyFont="1" applyFill="1" applyBorder="1" applyAlignment="1">
      <alignment horizontal="center" vertical="center" wrapText="1"/>
      <protection/>
    </xf>
    <xf numFmtId="193" fontId="0" fillId="7" borderId="39" xfId="56" applyNumberFormat="1" applyFont="1" applyFill="1" applyBorder="1" applyAlignment="1">
      <alignment horizontal="center" vertical="center" wrapText="1"/>
      <protection/>
    </xf>
    <xf numFmtId="215" fontId="1" fillId="37" borderId="37" xfId="56" applyNumberFormat="1" applyFont="1" applyFill="1" applyBorder="1" applyAlignment="1">
      <alignment horizontal="center" vertical="center" wrapText="1"/>
      <protection/>
    </xf>
    <xf numFmtId="215" fontId="1" fillId="37" borderId="40" xfId="56" applyNumberFormat="1" applyFont="1" applyFill="1" applyBorder="1" applyAlignment="1">
      <alignment horizontal="center" vertical="center" wrapText="1"/>
      <protection/>
    </xf>
    <xf numFmtId="0" fontId="101" fillId="0" borderId="0" xfId="0" applyFont="1" applyAlignment="1">
      <alignment horizontal="left" vertical="center" wrapText="1"/>
    </xf>
    <xf numFmtId="214" fontId="27" fillId="37" borderId="106" xfId="56" applyNumberFormat="1" applyFont="1" applyFill="1" applyBorder="1" applyAlignment="1">
      <alignment horizontal="center" vertical="center" wrapText="1"/>
      <protection/>
    </xf>
    <xf numFmtId="214" fontId="27" fillId="37" borderId="94" xfId="56" applyNumberFormat="1" applyFont="1" applyFill="1" applyBorder="1" applyAlignment="1">
      <alignment horizontal="center" vertical="center" wrapText="1"/>
      <protection/>
    </xf>
    <xf numFmtId="193" fontId="27" fillId="37" borderId="106" xfId="56" applyNumberFormat="1" applyFont="1" applyFill="1" applyBorder="1" applyAlignment="1">
      <alignment horizontal="center" vertical="center" wrapText="1"/>
      <protection/>
    </xf>
    <xf numFmtId="193" fontId="27" fillId="37" borderId="94" xfId="56" applyNumberFormat="1" applyFont="1" applyFill="1" applyBorder="1" applyAlignment="1">
      <alignment horizontal="center" vertical="center" wrapText="1"/>
      <protection/>
    </xf>
    <xf numFmtId="193" fontId="28" fillId="37" borderId="176" xfId="56" applyNumberFormat="1" applyFont="1" applyFill="1" applyBorder="1" applyAlignment="1">
      <alignment horizontal="center" vertical="center" wrapText="1"/>
      <protection/>
    </xf>
    <xf numFmtId="193" fontId="28" fillId="37" borderId="177" xfId="56" applyNumberFormat="1" applyFont="1" applyFill="1" applyBorder="1" applyAlignment="1">
      <alignment horizontal="center" vertical="center" wrapText="1"/>
      <protection/>
    </xf>
    <xf numFmtId="193" fontId="28" fillId="37" borderId="158" xfId="56" applyNumberFormat="1" applyFont="1" applyFill="1" applyBorder="1" applyAlignment="1">
      <alignment horizontal="center" vertical="center" wrapText="1"/>
      <protection/>
    </xf>
    <xf numFmtId="193" fontId="28" fillId="37" borderId="145" xfId="56" applyNumberFormat="1" applyFont="1" applyFill="1" applyBorder="1" applyAlignment="1">
      <alignment horizontal="center" vertical="center" wrapText="1"/>
      <protection/>
    </xf>
    <xf numFmtId="193" fontId="28" fillId="37" borderId="142" xfId="56" applyNumberFormat="1" applyFont="1" applyFill="1" applyBorder="1" applyAlignment="1">
      <alignment horizontal="center" vertical="center" wrapText="1"/>
      <protection/>
    </xf>
    <xf numFmtId="193" fontId="28" fillId="37" borderId="178" xfId="56" applyNumberFormat="1" applyFont="1" applyFill="1" applyBorder="1" applyAlignment="1">
      <alignment horizontal="center" vertical="center" wrapText="1"/>
      <protection/>
    </xf>
    <xf numFmtId="193" fontId="28" fillId="37" borderId="106" xfId="56" applyNumberFormat="1" applyFont="1" applyFill="1" applyBorder="1" applyAlignment="1">
      <alignment horizontal="center" vertical="center" wrapText="1"/>
      <protection/>
    </xf>
    <xf numFmtId="193" fontId="28" fillId="37" borderId="30" xfId="56" applyNumberFormat="1" applyFont="1" applyFill="1" applyBorder="1" applyAlignment="1">
      <alignment horizontal="center" vertical="center" wrapText="1"/>
      <protection/>
    </xf>
    <xf numFmtId="193" fontId="28" fillId="37" borderId="79" xfId="56" applyNumberFormat="1" applyFont="1" applyFill="1" applyBorder="1" applyAlignment="1">
      <alignment horizontal="center" vertical="center" wrapText="1"/>
      <protection/>
    </xf>
    <xf numFmtId="193" fontId="27" fillId="37" borderId="25" xfId="56" applyNumberFormat="1" applyFont="1" applyFill="1" applyBorder="1" applyAlignment="1">
      <alignment horizontal="center" vertical="center" wrapText="1"/>
      <protection/>
    </xf>
    <xf numFmtId="193" fontId="27" fillId="37" borderId="96" xfId="56" applyNumberFormat="1" applyFont="1" applyFill="1" applyBorder="1" applyAlignment="1">
      <alignment horizontal="center" vertical="center" wrapText="1"/>
      <protection/>
    </xf>
    <xf numFmtId="214" fontId="0" fillId="7" borderId="38" xfId="56" applyNumberFormat="1" applyFont="1" applyFill="1" applyBorder="1" applyAlignment="1">
      <alignment horizontal="center" vertical="center" wrapText="1"/>
      <protection/>
    </xf>
    <xf numFmtId="214" fontId="0" fillId="7" borderId="39" xfId="56" applyNumberFormat="1" applyFont="1" applyFill="1" applyBorder="1" applyAlignment="1">
      <alignment horizontal="center" vertical="center" wrapText="1"/>
      <protection/>
    </xf>
    <xf numFmtId="4" fontId="1" fillId="37" borderId="40" xfId="56" applyNumberFormat="1" applyFont="1" applyFill="1" applyBorder="1" applyAlignment="1">
      <alignment horizontal="center" vertical="center" wrapText="1"/>
      <protection/>
    </xf>
    <xf numFmtId="4" fontId="1" fillId="37" borderId="60" xfId="56" applyNumberFormat="1" applyFont="1" applyFill="1" applyBorder="1" applyAlignment="1">
      <alignment horizontal="center" vertical="center" wrapText="1"/>
      <protection/>
    </xf>
    <xf numFmtId="193" fontId="0" fillId="0" borderId="0" xfId="56" applyNumberFormat="1" applyFont="1" applyAlignment="1">
      <alignment horizontal="center" vertical="center" wrapText="1"/>
      <protection/>
    </xf>
    <xf numFmtId="3" fontId="1" fillId="37" borderId="40" xfId="56" applyNumberFormat="1" applyFont="1" applyFill="1" applyBorder="1" applyAlignment="1">
      <alignment horizontal="center" vertical="center" wrapText="1"/>
      <protection/>
    </xf>
    <xf numFmtId="215" fontId="0" fillId="7" borderId="58" xfId="56" applyNumberFormat="1" applyFont="1" applyFill="1" applyBorder="1" applyAlignment="1">
      <alignment horizontal="center" vertical="center" wrapText="1"/>
      <protection/>
    </xf>
    <xf numFmtId="215" fontId="0" fillId="7" borderId="59" xfId="56" applyNumberFormat="1" applyFont="1" applyFill="1" applyBorder="1" applyAlignment="1">
      <alignment horizontal="center" vertical="center" wrapText="1"/>
      <protection/>
    </xf>
    <xf numFmtId="0" fontId="1" fillId="37" borderId="179" xfId="0" applyFont="1" applyFill="1" applyBorder="1" applyAlignment="1">
      <alignment horizontal="center" vertical="center" wrapText="1"/>
    </xf>
    <xf numFmtId="0" fontId="1" fillId="37" borderId="180" xfId="0" applyFont="1" applyFill="1" applyBorder="1" applyAlignment="1">
      <alignment horizontal="center" vertical="center" wrapText="1"/>
    </xf>
    <xf numFmtId="0" fontId="1" fillId="37" borderId="181" xfId="0" applyFont="1" applyFill="1" applyBorder="1" applyAlignment="1">
      <alignment horizontal="center" vertical="center" wrapText="1"/>
    </xf>
    <xf numFmtId="215" fontId="1" fillId="37" borderId="60" xfId="56" applyNumberFormat="1" applyFont="1" applyFill="1" applyBorder="1" applyAlignment="1">
      <alignment horizontal="center" vertical="center" wrapText="1"/>
      <protection/>
    </xf>
    <xf numFmtId="3" fontId="0" fillId="7" borderId="38" xfId="56" applyNumberFormat="1" applyFont="1" applyFill="1" applyBorder="1" applyAlignment="1">
      <alignment horizontal="center" vertical="center" wrapText="1"/>
      <protection/>
    </xf>
    <xf numFmtId="3" fontId="0" fillId="7" borderId="39" xfId="56" applyNumberFormat="1" applyFont="1" applyFill="1" applyBorder="1" applyAlignment="1">
      <alignment horizontal="center" vertical="center" wrapText="1"/>
      <protection/>
    </xf>
    <xf numFmtId="215" fontId="1" fillId="37" borderId="43" xfId="56" applyNumberFormat="1" applyFont="1" applyFill="1" applyBorder="1" applyAlignment="1">
      <alignment horizontal="center" vertical="center" wrapText="1"/>
      <protection/>
    </xf>
    <xf numFmtId="215" fontId="1" fillId="37" borderId="56" xfId="56" applyNumberFormat="1" applyFont="1" applyFill="1" applyBorder="1" applyAlignment="1">
      <alignment horizontal="center" vertical="center" wrapText="1"/>
      <protection/>
    </xf>
    <xf numFmtId="0" fontId="0" fillId="0" borderId="17" xfId="0" applyNumberFormat="1" applyFill="1" applyBorder="1" applyAlignment="1">
      <alignment horizontal="center"/>
    </xf>
    <xf numFmtId="0" fontId="0" fillId="0" borderId="17" xfId="0" applyNumberFormat="1" applyFont="1" applyFill="1" applyBorder="1" applyAlignment="1">
      <alignment horizontal="left" vertical="center" wrapText="1"/>
    </xf>
    <xf numFmtId="9" fontId="0" fillId="0" borderId="17" xfId="0" applyNumberFormat="1" applyFont="1" applyFill="1" applyBorder="1" applyAlignment="1">
      <alignment horizontal="center"/>
    </xf>
    <xf numFmtId="0" fontId="0" fillId="0" borderId="17" xfId="0" applyNumberFormat="1" applyFont="1" applyFill="1" applyBorder="1" applyAlignment="1">
      <alignment horizontal="center"/>
    </xf>
    <xf numFmtId="0" fontId="0" fillId="0" borderId="95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10" fontId="0" fillId="0" borderId="17" xfId="0" applyNumberFormat="1" applyFont="1" applyFill="1" applyBorder="1" applyAlignment="1">
      <alignment horizontal="center"/>
    </xf>
    <xf numFmtId="10" fontId="0" fillId="0" borderId="125" xfId="0" applyNumberFormat="1" applyFont="1" applyFill="1" applyBorder="1" applyAlignment="1">
      <alignment horizontal="center" vertical="center"/>
    </xf>
    <xf numFmtId="10" fontId="0" fillId="0" borderId="132" xfId="0" applyNumberFormat="1" applyFont="1" applyFill="1" applyBorder="1" applyAlignment="1">
      <alignment horizontal="center" vertical="center"/>
    </xf>
    <xf numFmtId="0" fontId="1" fillId="0" borderId="145" xfId="0" applyNumberFormat="1" applyFont="1" applyFill="1" applyBorder="1" applyAlignment="1">
      <alignment horizontal="center" vertical="center"/>
    </xf>
    <xf numFmtId="0" fontId="0" fillId="0" borderId="110" xfId="0" applyNumberFormat="1" applyFill="1" applyBorder="1" applyAlignment="1">
      <alignment horizontal="center" vertical="center"/>
    </xf>
    <xf numFmtId="0" fontId="106" fillId="0" borderId="116" xfId="0" applyFont="1" applyBorder="1" applyAlignment="1" applyProtection="1">
      <alignment horizontal="center" vertical="center"/>
      <protection locked="0"/>
    </xf>
    <xf numFmtId="0" fontId="106" fillId="0" borderId="117" xfId="0" applyFont="1" applyBorder="1" applyAlignment="1" applyProtection="1">
      <alignment horizontal="center" vertical="center"/>
      <protection locked="0"/>
    </xf>
    <xf numFmtId="0" fontId="106" fillId="0" borderId="99" xfId="0" applyFont="1" applyBorder="1" applyAlignment="1" applyProtection="1">
      <alignment horizontal="center" vertical="center"/>
      <protection locked="0"/>
    </xf>
    <xf numFmtId="0" fontId="107" fillId="36" borderId="96" xfId="0" applyFont="1" applyFill="1" applyBorder="1" applyAlignment="1" applyProtection="1">
      <alignment horizontal="center" vertical="center"/>
      <protection/>
    </xf>
    <xf numFmtId="0" fontId="107" fillId="36" borderId="18" xfId="0" applyFont="1" applyFill="1" applyBorder="1" applyAlignment="1" applyProtection="1">
      <alignment horizontal="center" vertical="center"/>
      <protection/>
    </xf>
    <xf numFmtId="0" fontId="107" fillId="36" borderId="100" xfId="0" applyFont="1" applyFill="1" applyBorder="1" applyAlignment="1" applyProtection="1">
      <alignment horizontal="center" vertical="center"/>
      <protection/>
    </xf>
    <xf numFmtId="0" fontId="94" fillId="0" borderId="17" xfId="0" applyFont="1" applyBorder="1" applyAlignment="1" applyProtection="1">
      <alignment horizontal="left"/>
      <protection locked="0"/>
    </xf>
    <xf numFmtId="2" fontId="94" fillId="0" borderId="17" xfId="0" applyNumberFormat="1" applyFont="1" applyBorder="1" applyAlignment="1" applyProtection="1">
      <alignment horizontal="left"/>
      <protection locked="0"/>
    </xf>
    <xf numFmtId="10" fontId="91" fillId="0" borderId="15" xfId="0" applyNumberFormat="1" applyFont="1" applyBorder="1" applyAlignment="1" applyProtection="1">
      <alignment horizontal="center" vertical="center"/>
      <protection/>
    </xf>
    <xf numFmtId="0" fontId="91" fillId="0" borderId="15" xfId="0" applyFont="1" applyBorder="1" applyAlignment="1" applyProtection="1">
      <alignment horizontal="center" vertical="center"/>
      <protection/>
    </xf>
    <xf numFmtId="0" fontId="91" fillId="0" borderId="127" xfId="0" applyFont="1" applyBorder="1" applyAlignment="1" applyProtection="1">
      <alignment horizontal="center" vertical="center"/>
      <protection/>
    </xf>
    <xf numFmtId="0" fontId="94" fillId="0" borderId="95" xfId="0" applyFont="1" applyBorder="1" applyAlignment="1" applyProtection="1">
      <alignment horizontal="left"/>
      <protection locked="0"/>
    </xf>
    <xf numFmtId="0" fontId="7" fillId="0" borderId="93" xfId="0" applyNumberFormat="1" applyFont="1" applyFill="1" applyBorder="1" applyAlignment="1">
      <alignment horizontal="center"/>
    </xf>
    <xf numFmtId="0" fontId="7" fillId="0" borderId="28" xfId="0" applyNumberFormat="1" applyFont="1" applyFill="1" applyBorder="1" applyAlignment="1">
      <alignment horizontal="center"/>
    </xf>
    <xf numFmtId="0" fontId="7" fillId="0" borderId="29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left" vertical="center"/>
    </xf>
    <xf numFmtId="0" fontId="1" fillId="0" borderId="169" xfId="0" applyNumberFormat="1" applyFont="1" applyFill="1" applyBorder="1" applyAlignment="1">
      <alignment horizontal="left" vertical="center"/>
    </xf>
    <xf numFmtId="0" fontId="1" fillId="0" borderId="182" xfId="0" applyNumberFormat="1" applyFont="1" applyFill="1" applyBorder="1" applyAlignment="1">
      <alignment horizontal="left" vertical="center"/>
    </xf>
    <xf numFmtId="0" fontId="1" fillId="0" borderId="125" xfId="0" applyNumberFormat="1" applyFont="1" applyFill="1" applyBorder="1" applyAlignment="1">
      <alignment horizontal="center"/>
    </xf>
    <xf numFmtId="0" fontId="1" fillId="0" borderId="132" xfId="0" applyNumberFormat="1" applyFont="1" applyFill="1" applyBorder="1" applyAlignment="1">
      <alignment horizontal="center"/>
    </xf>
    <xf numFmtId="0" fontId="1" fillId="0" borderId="145" xfId="0" applyNumberFormat="1" applyFont="1" applyFill="1" applyBorder="1" applyAlignment="1">
      <alignment horizontal="center"/>
    </xf>
    <xf numFmtId="0" fontId="1" fillId="0" borderId="142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183" fontId="0" fillId="0" borderId="11" xfId="47" applyFont="1" applyFill="1" applyBorder="1" applyAlignment="1">
      <alignment horizontal="left" vertical="center"/>
    </xf>
    <xf numFmtId="183" fontId="0" fillId="0" borderId="10" xfId="47" applyFont="1" applyFill="1" applyBorder="1" applyAlignment="1">
      <alignment horizontal="left" vertical="center"/>
    </xf>
    <xf numFmtId="0" fontId="1" fillId="0" borderId="125" xfId="0" applyNumberFormat="1" applyFont="1" applyFill="1" applyBorder="1" applyAlignment="1">
      <alignment horizontal="center" vertical="center" wrapText="1"/>
    </xf>
    <xf numFmtId="0" fontId="1" fillId="0" borderId="126" xfId="0" applyNumberFormat="1" applyFont="1" applyFill="1" applyBorder="1" applyAlignment="1">
      <alignment horizontal="center" vertical="center" wrapText="1"/>
    </xf>
    <xf numFmtId="0" fontId="6" fillId="0" borderId="0" xfId="53" applyFont="1" applyBorder="1" applyAlignment="1" applyProtection="1">
      <alignment horizontal="center" vertical="center"/>
      <protection/>
    </xf>
    <xf numFmtId="209" fontId="0" fillId="34" borderId="0" xfId="53" applyNumberFormat="1" applyFont="1" applyFill="1" applyBorder="1" applyAlignment="1" applyProtection="1">
      <alignment horizontal="left"/>
      <protection locked="0"/>
    </xf>
    <xf numFmtId="0" fontId="0" fillId="34" borderId="0" xfId="53" applyNumberFormat="1" applyFont="1" applyFill="1" applyBorder="1" applyAlignment="1" applyProtection="1">
      <alignment horizontal="left"/>
      <protection/>
    </xf>
    <xf numFmtId="0" fontId="0" fillId="34" borderId="0" xfId="53" applyFont="1" applyFill="1" applyBorder="1" applyAlignment="1" applyProtection="1">
      <alignment horizontal="left"/>
      <protection/>
    </xf>
    <xf numFmtId="209" fontId="0" fillId="34" borderId="0" xfId="53" applyNumberFormat="1" applyFont="1" applyFill="1" applyAlignment="1" applyProtection="1">
      <alignment horizontal="left"/>
      <protection locked="0"/>
    </xf>
    <xf numFmtId="0" fontId="0" fillId="0" borderId="31" xfId="53" applyFont="1" applyBorder="1" applyAlignment="1" applyProtection="1">
      <alignment horizontal="center" vertical="center"/>
      <protection/>
    </xf>
    <xf numFmtId="0" fontId="0" fillId="0" borderId="0" xfId="53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 quotePrefix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0" fillId="0" borderId="0" xfId="53" applyFont="1" applyBorder="1" applyAlignment="1" applyProtection="1">
      <alignment horizontal="left" vertical="center"/>
      <protection/>
    </xf>
    <xf numFmtId="0" fontId="0" fillId="0" borderId="82" xfId="53" applyFont="1" applyBorder="1" applyAlignment="1" applyProtection="1">
      <alignment horizontal="left" vertical="center" wrapText="1"/>
      <protection/>
    </xf>
    <xf numFmtId="0" fontId="0" fillId="0" borderId="0" xfId="53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 applyProtection="1">
      <alignment horizontal="center" vertical="top"/>
      <protection/>
    </xf>
    <xf numFmtId="0" fontId="19" fillId="0" borderId="0" xfId="0" applyFont="1" applyBorder="1" applyAlignment="1" applyProtection="1">
      <alignment horizontal="center"/>
      <protection/>
    </xf>
    <xf numFmtId="0" fontId="0" fillId="0" borderId="17" xfId="53" applyFont="1" applyBorder="1" applyAlignment="1" applyProtection="1">
      <alignment horizontal="left" vertical="center" wrapText="1"/>
      <protection/>
    </xf>
    <xf numFmtId="0" fontId="16" fillId="0" borderId="0" xfId="53" applyFont="1" applyBorder="1" applyAlignment="1" applyProtection="1">
      <alignment horizontal="left" vertical="center" wrapText="1"/>
      <protection/>
    </xf>
    <xf numFmtId="2" fontId="17" fillId="0" borderId="31" xfId="53" applyNumberFormat="1" applyFont="1" applyFill="1" applyBorder="1" applyAlignment="1" applyProtection="1">
      <alignment horizontal="center" vertical="center"/>
      <protection/>
    </xf>
    <xf numFmtId="0" fontId="0" fillId="0" borderId="0" xfId="53" applyFont="1" applyBorder="1" applyAlignment="1" applyProtection="1">
      <alignment horizontal="center" vertical="top"/>
      <protection/>
    </xf>
    <xf numFmtId="0" fontId="0" fillId="0" borderId="17" xfId="53" applyFont="1" applyBorder="1" applyAlignment="1" applyProtection="1">
      <alignment horizontal="left" vertical="center"/>
      <protection/>
    </xf>
    <xf numFmtId="0" fontId="10" fillId="0" borderId="17" xfId="53" applyFont="1" applyFill="1" applyBorder="1" applyAlignment="1" applyProtection="1">
      <alignment horizontal="left" wrapText="1"/>
      <protection/>
    </xf>
    <xf numFmtId="10" fontId="10" fillId="33" borderId="17" xfId="53" applyNumberFormat="1" applyFont="1" applyFill="1" applyBorder="1" applyAlignment="1" applyProtection="1">
      <alignment horizontal="center"/>
      <protection locked="0"/>
    </xf>
    <xf numFmtId="0" fontId="10" fillId="0" borderId="17" xfId="53" applyFont="1" applyFill="1" applyBorder="1" applyAlignment="1" applyProtection="1">
      <alignment horizontal="left"/>
      <protection/>
    </xf>
    <xf numFmtId="0" fontId="6" fillId="0" borderId="17" xfId="53" applyFont="1" applyBorder="1" applyAlignment="1" applyProtection="1">
      <alignment horizontal="center" vertical="center"/>
      <protection/>
    </xf>
    <xf numFmtId="4" fontId="6" fillId="0" borderId="17" xfId="53" applyNumberFormat="1" applyFont="1" applyFill="1" applyBorder="1" applyAlignment="1" applyProtection="1">
      <alignment horizontal="center" vertical="center" wrapText="1"/>
      <protection/>
    </xf>
    <xf numFmtId="0" fontId="6" fillId="0" borderId="17" xfId="53" applyFont="1" applyBorder="1" applyAlignment="1" applyProtection="1">
      <alignment horizontal="center"/>
      <protection/>
    </xf>
    <xf numFmtId="0" fontId="1" fillId="0" borderId="82" xfId="57" applyFont="1" applyBorder="1" applyAlignment="1" applyProtection="1">
      <alignment horizontal="left" vertical="top"/>
      <protection/>
    </xf>
    <xf numFmtId="0" fontId="1" fillId="0" borderId="0" xfId="57" applyFont="1" applyBorder="1" applyAlignment="1" applyProtection="1">
      <alignment horizontal="left" vertical="top"/>
      <protection/>
    </xf>
    <xf numFmtId="0" fontId="1" fillId="0" borderId="161" xfId="57" applyFont="1" applyBorder="1" applyAlignment="1" applyProtection="1">
      <alignment horizontal="left" vertical="top"/>
      <protection/>
    </xf>
    <xf numFmtId="49" fontId="0" fillId="33" borderId="84" xfId="53" applyNumberFormat="1" applyFont="1" applyFill="1" applyBorder="1" applyAlignment="1" applyProtection="1">
      <alignment horizontal="left" vertical="top" wrapText="1"/>
      <protection/>
    </xf>
    <xf numFmtId="49" fontId="0" fillId="33" borderId="81" xfId="53" applyNumberFormat="1" applyFont="1" applyFill="1" applyBorder="1" applyAlignment="1" applyProtection="1">
      <alignment horizontal="left" vertical="top" wrapText="1"/>
      <protection/>
    </xf>
    <xf numFmtId="49" fontId="0" fillId="33" borderId="183" xfId="53" applyNumberFormat="1" applyFont="1" applyFill="1" applyBorder="1" applyAlignment="1" applyProtection="1">
      <alignment horizontal="left" vertical="top" wrapText="1"/>
      <protection/>
    </xf>
    <xf numFmtId="176" fontId="10" fillId="33" borderId="84" xfId="51" applyFont="1" applyFill="1" applyBorder="1" applyAlignment="1" applyProtection="1">
      <alignment horizontal="left"/>
      <protection locked="0"/>
    </xf>
    <xf numFmtId="176" fontId="10" fillId="33" borderId="81" xfId="51" applyFont="1" applyFill="1" applyBorder="1" applyAlignment="1" applyProtection="1">
      <alignment horizontal="left"/>
      <protection locked="0"/>
    </xf>
    <xf numFmtId="176" fontId="10" fillId="33" borderId="183" xfId="51" applyFont="1" applyFill="1" applyBorder="1" applyAlignment="1" applyProtection="1">
      <alignment horizontal="left"/>
      <protection locked="0"/>
    </xf>
    <xf numFmtId="0" fontId="0" fillId="33" borderId="84" xfId="53" applyFont="1" applyFill="1" applyBorder="1" applyAlignment="1" applyProtection="1">
      <alignment horizontal="center" vertical="top" wrapText="1"/>
      <protection locked="0"/>
    </xf>
    <xf numFmtId="0" fontId="0" fillId="33" borderId="183" xfId="53" applyFont="1" applyFill="1" applyBorder="1" applyAlignment="1" applyProtection="1">
      <alignment horizontal="center" vertical="top" wrapText="1"/>
      <protection locked="0"/>
    </xf>
    <xf numFmtId="0" fontId="0" fillId="0" borderId="20" xfId="53" applyFont="1" applyBorder="1" applyAlignment="1" applyProtection="1">
      <alignment horizontal="center"/>
      <protection/>
    </xf>
    <xf numFmtId="0" fontId="0" fillId="0" borderId="87" xfId="53" applyFont="1" applyBorder="1" applyAlignment="1" applyProtection="1">
      <alignment horizontal="center"/>
      <protection/>
    </xf>
    <xf numFmtId="3" fontId="0" fillId="33" borderId="84" xfId="53" applyNumberFormat="1" applyFont="1" applyFill="1" applyBorder="1" applyAlignment="1" applyProtection="1">
      <alignment horizontal="left" vertical="top" wrapText="1"/>
      <protection/>
    </xf>
    <xf numFmtId="0" fontId="0" fillId="33" borderId="183" xfId="53" applyFont="1" applyFill="1" applyBorder="1" applyAlignment="1" applyProtection="1">
      <alignment horizontal="left" vertical="top" wrapText="1"/>
      <protection/>
    </xf>
    <xf numFmtId="0" fontId="0" fillId="33" borderId="81" xfId="53" applyNumberFormat="1" applyFont="1" applyFill="1" applyBorder="1" applyAlignment="1" applyProtection="1">
      <alignment horizontal="left" vertical="top" wrapText="1"/>
      <protection/>
    </xf>
    <xf numFmtId="0" fontId="0" fillId="33" borderId="183" xfId="53" applyNumberFormat="1" applyFont="1" applyFill="1" applyBorder="1" applyAlignment="1" applyProtection="1">
      <alignment horizontal="left" vertical="top" wrapText="1"/>
      <protection/>
    </xf>
    <xf numFmtId="0" fontId="9" fillId="0" borderId="0" xfId="53" applyFont="1" applyBorder="1" applyAlignment="1" applyProtection="1">
      <alignment horizontal="center" vertical="center"/>
      <protection/>
    </xf>
    <xf numFmtId="0" fontId="9" fillId="0" borderId="27" xfId="53" applyFont="1" applyBorder="1" applyAlignment="1" applyProtection="1">
      <alignment horizontal="center" vertical="center"/>
      <protection/>
    </xf>
    <xf numFmtId="0" fontId="1" fillId="36" borderId="104" xfId="0" applyFont="1" applyFill="1" applyBorder="1" applyAlignment="1">
      <alignment horizontal="right" vertical="center" wrapText="1"/>
    </xf>
    <xf numFmtId="0" fontId="1" fillId="36" borderId="51" xfId="0" applyFont="1" applyFill="1" applyBorder="1" applyAlignment="1">
      <alignment horizontal="right" vertical="center" wrapText="1"/>
    </xf>
    <xf numFmtId="0" fontId="13" fillId="0" borderId="93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0" fillId="0" borderId="82" xfId="53" applyFont="1" applyBorder="1" applyAlignment="1" applyProtection="1">
      <alignment horizontal="center"/>
      <protection/>
    </xf>
    <xf numFmtId="0" fontId="0" fillId="0" borderId="161" xfId="53" applyFont="1" applyBorder="1" applyAlignment="1" applyProtection="1">
      <alignment horizontal="center"/>
      <protection/>
    </xf>
    <xf numFmtId="0" fontId="4" fillId="0" borderId="17" xfId="53" applyFont="1" applyBorder="1" applyAlignment="1" applyProtection="1">
      <alignment horizontal="center" vertical="center" wrapText="1"/>
      <protection/>
    </xf>
    <xf numFmtId="209" fontId="0" fillId="33" borderId="0" xfId="53" applyNumberFormat="1" applyFont="1" applyFill="1" applyAlignment="1" applyProtection="1">
      <alignment horizontal="left"/>
      <protection locked="0"/>
    </xf>
    <xf numFmtId="0" fontId="0" fillId="33" borderId="0" xfId="53" applyNumberFormat="1" applyFont="1" applyFill="1" applyBorder="1" applyAlignment="1" applyProtection="1">
      <alignment horizontal="left"/>
      <protection/>
    </xf>
    <xf numFmtId="0" fontId="1" fillId="0" borderId="84" xfId="53" applyFont="1" applyBorder="1" applyAlignment="1" applyProtection="1">
      <alignment horizontal="center"/>
      <protection/>
    </xf>
    <xf numFmtId="0" fontId="1" fillId="0" borderId="183" xfId="53" applyFont="1" applyBorder="1" applyAlignment="1" applyProtection="1">
      <alignment horizontal="center"/>
      <protection/>
    </xf>
    <xf numFmtId="0" fontId="0" fillId="33" borderId="0" xfId="53" applyFont="1" applyFill="1" applyBorder="1" applyAlignment="1" applyProtection="1">
      <alignment horizontal="left"/>
      <protection/>
    </xf>
    <xf numFmtId="0" fontId="6" fillId="0" borderId="0" xfId="53" applyFont="1" applyBorder="1" applyAlignment="1" applyProtection="1">
      <alignment horizontal="left" vertical="center"/>
      <protection/>
    </xf>
  </cellXfs>
  <cellStyles count="6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Moeda 3" xfId="50"/>
    <cellStyle name="Moeda_Composicao BDI v2.1" xfId="51"/>
    <cellStyle name="Neutra" xfId="52"/>
    <cellStyle name="Normal 2" xfId="53"/>
    <cellStyle name="Normal 2 22" xfId="54"/>
    <cellStyle name="Normal 3" xfId="55"/>
    <cellStyle name="Normal 39" xfId="56"/>
    <cellStyle name="Normal_FICHA DE VERIFICAÇÃO PRELIMINAR - Plano R" xfId="57"/>
    <cellStyle name="Nota" xfId="58"/>
    <cellStyle name="Percent" xfId="59"/>
    <cellStyle name="Porcentagem 2" xfId="60"/>
    <cellStyle name="Porcentagem 3" xfId="61"/>
    <cellStyle name="Saída" xfId="62"/>
    <cellStyle name="Comma [0]" xfId="63"/>
    <cellStyle name="Texto de Aviso" xfId="64"/>
    <cellStyle name="Texto Explicativo" xfId="65"/>
    <cellStyle name="Título" xfId="66"/>
    <cellStyle name="Título 1" xfId="67"/>
    <cellStyle name="Título 2" xfId="68"/>
    <cellStyle name="Título 3" xfId="69"/>
    <cellStyle name="Título 4" xfId="70"/>
    <cellStyle name="Total" xfId="71"/>
    <cellStyle name="Comma" xfId="72"/>
    <cellStyle name="Vírgula 2" xfId="73"/>
    <cellStyle name="Vírgula 3" xfId="74"/>
  </cellStyles>
  <dxfs count="17">
    <dxf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theme="0" tint="-0.149959996342659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theme="0" tint="-0.149959996342659"/>
        </patternFill>
      </fill>
    </dxf>
    <dxf>
      <font>
        <color indexed="17"/>
      </font>
      <border>
        <left style="thin"/>
        <right style="thin"/>
        <top style="thin"/>
        <bottom style="thin"/>
      </border>
    </dxf>
    <dxf>
      <font>
        <color indexed="10"/>
      </font>
      <border>
        <left style="thin"/>
        <right style="thin"/>
        <top style="thin"/>
        <bottom style="thin"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lor theme="1"/>
      </font>
      <fill>
        <patternFill>
          <bgColor theme="0" tint="-0.149959996342659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theme="0" tint="-0.149959996342659"/>
        </patternFill>
      </fill>
    </dxf>
    <dxf>
      <font>
        <color indexed="17"/>
      </font>
      <border>
        <left style="thin"/>
        <right style="thin"/>
        <top style="thin"/>
        <bottom style="thin"/>
      </border>
    </dxf>
    <dxf>
      <font>
        <color indexed="10"/>
      </font>
      <border>
        <left style="thin"/>
        <right style="thin"/>
        <top style="thin"/>
        <bottom style="thin"/>
      </border>
    </dxf>
    <dxf>
      <font>
        <color rgb="FFFF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008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1"/>
      </font>
      <fill>
        <patternFill>
          <bgColor theme="0" tint="-0.14995999634265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0</xdr:row>
      <xdr:rowOff>57150</xdr:rowOff>
    </xdr:from>
    <xdr:to>
      <xdr:col>1</xdr:col>
      <xdr:colOff>657225</xdr:colOff>
      <xdr:row>2</xdr:row>
      <xdr:rowOff>295275</xdr:rowOff>
    </xdr:to>
    <xdr:pic>
      <xdr:nvPicPr>
        <xdr:cNvPr id="1" name="Picture 1" descr="Brasão do 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7150"/>
          <a:ext cx="10191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0</xdr:row>
      <xdr:rowOff>57150</xdr:rowOff>
    </xdr:from>
    <xdr:to>
      <xdr:col>1</xdr:col>
      <xdr:colOff>657225</xdr:colOff>
      <xdr:row>2</xdr:row>
      <xdr:rowOff>295275</xdr:rowOff>
    </xdr:to>
    <xdr:pic>
      <xdr:nvPicPr>
        <xdr:cNvPr id="1" name="Picture 1" descr="Brasão do 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7150"/>
          <a:ext cx="10191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0</xdr:row>
      <xdr:rowOff>57150</xdr:rowOff>
    </xdr:from>
    <xdr:to>
      <xdr:col>1</xdr:col>
      <xdr:colOff>657225</xdr:colOff>
      <xdr:row>2</xdr:row>
      <xdr:rowOff>295275</xdr:rowOff>
    </xdr:to>
    <xdr:pic>
      <xdr:nvPicPr>
        <xdr:cNvPr id="1" name="Picture 1" descr="Brasão do 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7150"/>
          <a:ext cx="1019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0</xdr:row>
      <xdr:rowOff>57150</xdr:rowOff>
    </xdr:from>
    <xdr:to>
      <xdr:col>1</xdr:col>
      <xdr:colOff>447675</xdr:colOff>
      <xdr:row>2</xdr:row>
      <xdr:rowOff>266700</xdr:rowOff>
    </xdr:to>
    <xdr:pic>
      <xdr:nvPicPr>
        <xdr:cNvPr id="1" name="Picture 1" descr="Brasão do 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7150"/>
          <a:ext cx="9048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0</xdr:row>
      <xdr:rowOff>38100</xdr:rowOff>
    </xdr:from>
    <xdr:to>
      <xdr:col>1</xdr:col>
      <xdr:colOff>809625</xdr:colOff>
      <xdr:row>0</xdr:row>
      <xdr:rowOff>600075</xdr:rowOff>
    </xdr:to>
    <xdr:pic>
      <xdr:nvPicPr>
        <xdr:cNvPr id="1" name="Picture 1" descr="Brasão do 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38100"/>
          <a:ext cx="6381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238125</xdr:colOff>
      <xdr:row>0</xdr:row>
      <xdr:rowOff>28575</xdr:rowOff>
    </xdr:from>
    <xdr:to>
      <xdr:col>9</xdr:col>
      <xdr:colOff>247650</xdr:colOff>
      <xdr:row>2</xdr:row>
      <xdr:rowOff>133350</xdr:rowOff>
    </xdr:to>
    <xdr:pic>
      <xdr:nvPicPr>
        <xdr:cNvPr id="1" name="Picture 1" descr="Brasão do 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8575"/>
          <a:ext cx="723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238125</xdr:colOff>
      <xdr:row>0</xdr:row>
      <xdr:rowOff>28575</xdr:rowOff>
    </xdr:from>
    <xdr:to>
      <xdr:col>9</xdr:col>
      <xdr:colOff>247650</xdr:colOff>
      <xdr:row>2</xdr:row>
      <xdr:rowOff>133350</xdr:rowOff>
    </xdr:to>
    <xdr:pic>
      <xdr:nvPicPr>
        <xdr:cNvPr id="1" name="Picture 1" descr="Brasão do 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8575"/>
          <a:ext cx="7239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OBERTA-DEPLAN\Pasta%20Compartilhada\PAVIMENTA&#199;&#195;O%20-%20(OR&#199;AMENTO)\Pavimenta&#231;&#227;o%20P&#201;%20DE%20CEDRO\PAVIMENTA&#199;&#195;O%20-%20BAIRRO%20P&#201;%20DE%20CEDRO\PAV%20-%20ATUALIZADA%2005-2022\PLANILHA%20PAVIMENTA&#199;&#195;O%20%20-%20ATUALIZA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OSIÇÕES"/>
      <sheetName val="ORÇAMENTO"/>
      <sheetName val="PREFEITURA"/>
      <sheetName val="material"/>
      <sheetName val="PL.ORÇ"/>
      <sheetName val="PAV. TSD"/>
      <sheetName val="SERVIÇOS COMPLEMENTARES"/>
      <sheetName val="SINALIZAÇÃO"/>
      <sheetName val="FIFI"/>
      <sheetName val="BDI SERVIÇOS"/>
      <sheetName val="ARRUAMENTO"/>
      <sheetName val="MEMÓRIA DE CALCULO"/>
      <sheetName val="Plan2"/>
    </sheetNames>
    <sheetDataSet>
      <sheetData sheetId="4">
        <row r="17">
          <cell r="B17" t="str">
            <v>TRANSPORTE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5"/>
  <sheetViews>
    <sheetView zoomScalePageLayoutView="0" workbookViewId="0" topLeftCell="A24">
      <selection activeCell="B12" sqref="B12"/>
    </sheetView>
  </sheetViews>
  <sheetFormatPr defaultColWidth="9.140625" defaultRowHeight="12.75"/>
  <cols>
    <col min="1" max="1" width="10.00390625" style="85" customWidth="1"/>
    <col min="2" max="2" width="40.00390625" style="85" customWidth="1"/>
    <col min="3" max="3" width="8.00390625" style="85" customWidth="1"/>
    <col min="4" max="9" width="12.00390625" style="85" customWidth="1"/>
    <col min="10" max="16384" width="9.140625" style="85" customWidth="1"/>
  </cols>
  <sheetData>
    <row r="1" spans="1:9" s="84" customFormat="1" ht="13.5" thickBot="1">
      <c r="A1" s="201"/>
      <c r="B1" s="202"/>
      <c r="C1" s="202"/>
      <c r="D1" s="202"/>
      <c r="E1" s="202"/>
      <c r="F1" s="202"/>
      <c r="G1" s="202"/>
      <c r="H1" s="202"/>
      <c r="I1" s="203"/>
    </row>
    <row r="2" spans="1:9" s="84" customFormat="1" ht="14.25" customHeight="1" thickBot="1">
      <c r="A2" s="695" t="s">
        <v>137</v>
      </c>
      <c r="B2" s="696"/>
      <c r="C2" s="696"/>
      <c r="D2" s="696"/>
      <c r="E2" s="696"/>
      <c r="F2" s="696"/>
      <c r="G2" s="696"/>
      <c r="H2" s="696"/>
      <c r="I2" s="697"/>
    </row>
    <row r="3" spans="1:9" s="84" customFormat="1" ht="12.75">
      <c r="A3" s="204"/>
      <c r="I3" s="205"/>
    </row>
    <row r="4" spans="1:9" s="212" customFormat="1" ht="12">
      <c r="A4" s="210" t="s">
        <v>138</v>
      </c>
      <c r="B4" s="211" t="str">
        <f>ORÇAMENTO!B4</f>
        <v>INFRAESTRUTURA URBANA - PAVIMENTAÇÃO ASFÁLTICA </v>
      </c>
      <c r="I4" s="213"/>
    </row>
    <row r="5" spans="1:9" s="212" customFormat="1" ht="12">
      <c r="A5" s="210" t="s">
        <v>139</v>
      </c>
      <c r="B5" s="211" t="str">
        <f>ORÇAMENTO!B6</f>
        <v>SIDROLÂNDIA-MS</v>
      </c>
      <c r="I5" s="213"/>
    </row>
    <row r="6" spans="1:9" s="212" customFormat="1" ht="12">
      <c r="A6" s="210" t="s">
        <v>92</v>
      </c>
      <c r="B6" s="211" t="str">
        <f>ORÇAMENTO!B5</f>
        <v>BAIRRO DONA DIVA - RUAS WILSON JOSÉ MARTINS, PASCÁCIO FLEITAS E IZIDRO JAMAR</v>
      </c>
      <c r="I6" s="213"/>
    </row>
    <row r="7" spans="1:9" ht="12.75">
      <c r="A7" s="204"/>
      <c r="B7" s="84"/>
      <c r="C7" s="84"/>
      <c r="D7" s="84"/>
      <c r="E7" s="84"/>
      <c r="F7" s="84"/>
      <c r="G7" s="84"/>
      <c r="H7" s="84"/>
      <c r="I7" s="206"/>
    </row>
    <row r="8" spans="1:9" ht="13.5" thickBot="1">
      <c r="A8" s="207"/>
      <c r="B8" s="208"/>
      <c r="C8" s="208"/>
      <c r="D8" s="208"/>
      <c r="E8" s="208"/>
      <c r="F8" s="208"/>
      <c r="G8" s="208"/>
      <c r="H8" s="208"/>
      <c r="I8" s="209"/>
    </row>
    <row r="9" spans="1:9" ht="12.75">
      <c r="A9" s="201"/>
      <c r="B9" s="202"/>
      <c r="C9" s="202"/>
      <c r="D9" s="202"/>
      <c r="E9" s="202"/>
      <c r="F9" s="202"/>
      <c r="G9" s="202"/>
      <c r="H9" s="202"/>
      <c r="I9" s="411"/>
    </row>
    <row r="10" spans="1:9" ht="22.5" customHeight="1">
      <c r="A10" s="412" t="s">
        <v>324</v>
      </c>
      <c r="B10" s="86"/>
      <c r="C10" s="86"/>
      <c r="D10" s="86"/>
      <c r="E10" s="86"/>
      <c r="F10" s="86"/>
      <c r="G10" s="86"/>
      <c r="H10" s="86"/>
      <c r="I10" s="413"/>
    </row>
    <row r="11" spans="1:9" ht="22.5">
      <c r="A11" s="414" t="s">
        <v>140</v>
      </c>
      <c r="B11" s="87" t="s">
        <v>141</v>
      </c>
      <c r="C11" s="87" t="s">
        <v>142</v>
      </c>
      <c r="D11" s="87" t="s">
        <v>143</v>
      </c>
      <c r="E11" s="88" t="s">
        <v>144</v>
      </c>
      <c r="F11" s="88" t="s">
        <v>145</v>
      </c>
      <c r="G11" s="88" t="s">
        <v>146</v>
      </c>
      <c r="H11" s="88" t="s">
        <v>147</v>
      </c>
      <c r="I11" s="415" t="s">
        <v>148</v>
      </c>
    </row>
    <row r="12" spans="1:9" ht="22.5">
      <c r="A12" s="402">
        <v>83693</v>
      </c>
      <c r="B12" s="82" t="s">
        <v>157</v>
      </c>
      <c r="C12" s="83" t="s">
        <v>19</v>
      </c>
      <c r="D12" s="89">
        <v>0.25</v>
      </c>
      <c r="E12" s="90">
        <v>1</v>
      </c>
      <c r="F12" s="90">
        <v>0</v>
      </c>
      <c r="G12" s="90">
        <v>3.24</v>
      </c>
      <c r="H12" s="90">
        <v>0</v>
      </c>
      <c r="I12" s="403">
        <f>G12*D12</f>
        <v>0.81</v>
      </c>
    </row>
    <row r="13" spans="1:9" ht="33.75">
      <c r="A13" s="402" t="s">
        <v>150</v>
      </c>
      <c r="B13" s="82" t="s">
        <v>151</v>
      </c>
      <c r="C13" s="83" t="s">
        <v>31</v>
      </c>
      <c r="D13" s="89">
        <v>0.0615</v>
      </c>
      <c r="E13" s="90">
        <v>1</v>
      </c>
      <c r="F13" s="90">
        <v>0</v>
      </c>
      <c r="G13" s="90">
        <v>254.38</v>
      </c>
      <c r="H13" s="90">
        <v>0</v>
      </c>
      <c r="I13" s="403">
        <f>G13*D13</f>
        <v>15.64437</v>
      </c>
    </row>
    <row r="14" spans="1:9" ht="12.75">
      <c r="A14" s="402">
        <v>93358</v>
      </c>
      <c r="B14" s="82" t="s">
        <v>152</v>
      </c>
      <c r="C14" s="83" t="s">
        <v>31</v>
      </c>
      <c r="D14" s="89">
        <v>0.0462</v>
      </c>
      <c r="E14" s="90">
        <v>1</v>
      </c>
      <c r="F14" s="90">
        <v>0</v>
      </c>
      <c r="G14" s="90">
        <v>55.89</v>
      </c>
      <c r="H14" s="90">
        <v>0</v>
      </c>
      <c r="I14" s="403">
        <f>G14*D14</f>
        <v>2.582118</v>
      </c>
    </row>
    <row r="15" spans="1:9" ht="22.5">
      <c r="A15" s="402">
        <v>92873</v>
      </c>
      <c r="B15" s="82" t="s">
        <v>154</v>
      </c>
      <c r="C15" s="83" t="s">
        <v>31</v>
      </c>
      <c r="D15" s="89">
        <v>0.0615</v>
      </c>
      <c r="E15" s="90">
        <v>1</v>
      </c>
      <c r="F15" s="90">
        <v>0</v>
      </c>
      <c r="G15" s="90">
        <v>143.5</v>
      </c>
      <c r="H15" s="90">
        <v>0</v>
      </c>
      <c r="I15" s="403">
        <f>G15*D15</f>
        <v>8.82525</v>
      </c>
    </row>
    <row r="16" spans="1:11" ht="33.75">
      <c r="A16" s="402" t="s">
        <v>328</v>
      </c>
      <c r="B16" s="82" t="s">
        <v>156</v>
      </c>
      <c r="C16" s="83" t="s">
        <v>1</v>
      </c>
      <c r="D16" s="89">
        <v>1</v>
      </c>
      <c r="E16" s="90">
        <v>1</v>
      </c>
      <c r="F16" s="90">
        <v>0</v>
      </c>
      <c r="G16" s="90">
        <f>I24</f>
        <v>3.2487900000000005</v>
      </c>
      <c r="H16" s="90">
        <v>0</v>
      </c>
      <c r="I16" s="403">
        <f>G16*D16</f>
        <v>3.2487900000000005</v>
      </c>
      <c r="K16" s="200"/>
    </row>
    <row r="17" spans="1:9" ht="12.75">
      <c r="A17" s="204"/>
      <c r="B17" s="84"/>
      <c r="C17" s="84"/>
      <c r="D17" s="84"/>
      <c r="E17" s="84"/>
      <c r="F17" s="84"/>
      <c r="G17" s="84"/>
      <c r="H17" s="84"/>
      <c r="I17" s="416">
        <f>SUM(I12:I16)</f>
        <v>31.110528000000002</v>
      </c>
    </row>
    <row r="18" spans="1:9" ht="12.75">
      <c r="A18" s="204"/>
      <c r="B18" s="84"/>
      <c r="C18" s="84"/>
      <c r="D18" s="84"/>
      <c r="E18" s="84"/>
      <c r="F18" s="84"/>
      <c r="G18" s="84"/>
      <c r="H18" s="84"/>
      <c r="I18" s="206"/>
    </row>
    <row r="19" spans="1:9" ht="21" customHeight="1">
      <c r="A19" s="412" t="s">
        <v>325</v>
      </c>
      <c r="B19" s="86"/>
      <c r="C19" s="86"/>
      <c r="D19" s="86"/>
      <c r="E19" s="86"/>
      <c r="F19" s="86"/>
      <c r="G19" s="86"/>
      <c r="H19" s="86"/>
      <c r="I19" s="413"/>
    </row>
    <row r="20" spans="1:9" ht="22.5">
      <c r="A20" s="414" t="s">
        <v>140</v>
      </c>
      <c r="B20" s="87" t="s">
        <v>141</v>
      </c>
      <c r="C20" s="87" t="s">
        <v>142</v>
      </c>
      <c r="D20" s="87" t="s">
        <v>143</v>
      </c>
      <c r="E20" s="88" t="s">
        <v>144</v>
      </c>
      <c r="F20" s="88" t="s">
        <v>145</v>
      </c>
      <c r="G20" s="88" t="s">
        <v>146</v>
      </c>
      <c r="H20" s="88" t="s">
        <v>147</v>
      </c>
      <c r="I20" s="415" t="s">
        <v>148</v>
      </c>
    </row>
    <row r="21" spans="1:9" ht="12.75">
      <c r="A21" s="402" t="s">
        <v>162</v>
      </c>
      <c r="B21" s="82" t="s">
        <v>163</v>
      </c>
      <c r="C21" s="83" t="s">
        <v>136</v>
      </c>
      <c r="D21" s="89">
        <v>0.002</v>
      </c>
      <c r="E21" s="90">
        <v>1</v>
      </c>
      <c r="F21" s="90">
        <v>0</v>
      </c>
      <c r="G21" s="90">
        <v>346.61</v>
      </c>
      <c r="H21" s="90">
        <v>0</v>
      </c>
      <c r="I21" s="403">
        <f>G21*D21</f>
        <v>0.6932200000000001</v>
      </c>
    </row>
    <row r="22" spans="1:9" ht="45">
      <c r="A22" s="402" t="s">
        <v>164</v>
      </c>
      <c r="B22" s="82" t="s">
        <v>165</v>
      </c>
      <c r="C22" s="83" t="s">
        <v>153</v>
      </c>
      <c r="D22" s="89">
        <v>0.083</v>
      </c>
      <c r="E22" s="90">
        <v>1</v>
      </c>
      <c r="F22" s="90">
        <v>0</v>
      </c>
      <c r="G22" s="90">
        <v>16.66</v>
      </c>
      <c r="H22" s="90">
        <v>0</v>
      </c>
      <c r="I22" s="403">
        <f>G22*D22</f>
        <v>1.3827800000000001</v>
      </c>
    </row>
    <row r="23" spans="1:9" ht="12.75">
      <c r="A23" s="402" t="s">
        <v>160</v>
      </c>
      <c r="B23" s="82" t="s">
        <v>161</v>
      </c>
      <c r="C23" s="83" t="s">
        <v>110</v>
      </c>
      <c r="D23" s="89">
        <v>0.083</v>
      </c>
      <c r="E23" s="90">
        <v>1</v>
      </c>
      <c r="F23" s="90">
        <v>0</v>
      </c>
      <c r="G23" s="90">
        <v>14.13</v>
      </c>
      <c r="H23" s="90">
        <v>0</v>
      </c>
      <c r="I23" s="403">
        <f>G23*D23</f>
        <v>1.1727900000000002</v>
      </c>
    </row>
    <row r="24" spans="1:9" ht="12.75">
      <c r="A24" s="204"/>
      <c r="B24" s="84"/>
      <c r="C24" s="84"/>
      <c r="D24" s="84"/>
      <c r="E24" s="84"/>
      <c r="F24" s="84"/>
      <c r="G24" s="84"/>
      <c r="H24" s="84"/>
      <c r="I24" s="417">
        <f>SUM(I21:I23)</f>
        <v>3.2487900000000005</v>
      </c>
    </row>
    <row r="25" spans="1:9" ht="12.75">
      <c r="A25" s="204"/>
      <c r="B25" s="84"/>
      <c r="C25" s="84"/>
      <c r="D25" s="84"/>
      <c r="E25" s="84"/>
      <c r="F25" s="84"/>
      <c r="G25" s="84"/>
      <c r="H25" s="84"/>
      <c r="I25" s="206"/>
    </row>
    <row r="26" spans="1:9" ht="21.75" customHeight="1">
      <c r="A26" s="412" t="s">
        <v>332</v>
      </c>
      <c r="B26" s="86"/>
      <c r="C26" s="86"/>
      <c r="D26" s="86"/>
      <c r="E26" s="86"/>
      <c r="F26" s="86"/>
      <c r="G26" s="86"/>
      <c r="H26" s="86"/>
      <c r="I26" s="413"/>
    </row>
    <row r="27" spans="1:9" ht="22.5">
      <c r="A27" s="414" t="s">
        <v>140</v>
      </c>
      <c r="B27" s="87" t="s">
        <v>141</v>
      </c>
      <c r="C27" s="87" t="s">
        <v>142</v>
      </c>
      <c r="D27" s="87" t="s">
        <v>143</v>
      </c>
      <c r="E27" s="88" t="s">
        <v>144</v>
      </c>
      <c r="F27" s="88" t="s">
        <v>145</v>
      </c>
      <c r="G27" s="88" t="s">
        <v>146</v>
      </c>
      <c r="H27" s="88" t="s">
        <v>147</v>
      </c>
      <c r="I27" s="415" t="s">
        <v>148</v>
      </c>
    </row>
    <row r="28" spans="1:9" ht="22.5">
      <c r="A28" s="402" t="s">
        <v>166</v>
      </c>
      <c r="B28" s="82" t="s">
        <v>167</v>
      </c>
      <c r="C28" s="83" t="s">
        <v>1</v>
      </c>
      <c r="D28" s="89">
        <v>3</v>
      </c>
      <c r="E28" s="90">
        <v>1</v>
      </c>
      <c r="F28" s="90">
        <v>0</v>
      </c>
      <c r="G28" s="90">
        <v>8.06</v>
      </c>
      <c r="H28" s="90">
        <v>0</v>
      </c>
      <c r="I28" s="403">
        <f aca="true" t="shared" si="0" ref="I28:I33">G28*D28</f>
        <v>24.18</v>
      </c>
    </row>
    <row r="29" spans="1:9" ht="22.5">
      <c r="A29" s="402" t="s">
        <v>168</v>
      </c>
      <c r="B29" s="82" t="s">
        <v>169</v>
      </c>
      <c r="C29" s="83" t="s">
        <v>1</v>
      </c>
      <c r="D29" s="89">
        <v>1.4</v>
      </c>
      <c r="E29" s="90">
        <v>1</v>
      </c>
      <c r="F29" s="90">
        <v>0</v>
      </c>
      <c r="G29" s="90">
        <v>6.09</v>
      </c>
      <c r="H29" s="90">
        <v>0</v>
      </c>
      <c r="I29" s="403">
        <f t="shared" si="0"/>
        <v>8.526</v>
      </c>
    </row>
    <row r="30" spans="1:9" ht="12.75">
      <c r="A30" s="402" t="s">
        <v>170</v>
      </c>
      <c r="B30" s="82" t="s">
        <v>171</v>
      </c>
      <c r="C30" s="83" t="s">
        <v>172</v>
      </c>
      <c r="D30" s="89">
        <v>0.33</v>
      </c>
      <c r="E30" s="90">
        <v>1</v>
      </c>
      <c r="F30" s="90">
        <v>0</v>
      </c>
      <c r="G30" s="90">
        <v>23.65</v>
      </c>
      <c r="H30" s="90">
        <v>0</v>
      </c>
      <c r="I30" s="403">
        <f t="shared" si="0"/>
        <v>7.8045</v>
      </c>
    </row>
    <row r="31" spans="1:9" ht="12.75">
      <c r="A31" s="402" t="s">
        <v>173</v>
      </c>
      <c r="B31" s="82" t="s">
        <v>174</v>
      </c>
      <c r="C31" s="83" t="s">
        <v>110</v>
      </c>
      <c r="D31" s="89">
        <v>0.25</v>
      </c>
      <c r="E31" s="90">
        <v>1</v>
      </c>
      <c r="F31" s="90">
        <v>0</v>
      </c>
      <c r="G31" s="90">
        <v>17.24</v>
      </c>
      <c r="H31" s="90">
        <v>0</v>
      </c>
      <c r="I31" s="403">
        <f t="shared" si="0"/>
        <v>4.31</v>
      </c>
    </row>
    <row r="32" spans="1:9" ht="12.75">
      <c r="A32" s="402" t="s">
        <v>175</v>
      </c>
      <c r="B32" s="82" t="s">
        <v>176</v>
      </c>
      <c r="C32" s="83" t="s">
        <v>110</v>
      </c>
      <c r="D32" s="89">
        <v>0.125</v>
      </c>
      <c r="E32" s="90">
        <v>1</v>
      </c>
      <c r="F32" s="90">
        <v>0</v>
      </c>
      <c r="G32" s="90">
        <v>18.48</v>
      </c>
      <c r="H32" s="90">
        <v>0</v>
      </c>
      <c r="I32" s="403">
        <f t="shared" si="0"/>
        <v>2.31</v>
      </c>
    </row>
    <row r="33" spans="1:9" ht="12.75">
      <c r="A33" s="402" t="s">
        <v>160</v>
      </c>
      <c r="B33" s="82" t="s">
        <v>161</v>
      </c>
      <c r="C33" s="83" t="s">
        <v>110</v>
      </c>
      <c r="D33" s="89">
        <v>0.9</v>
      </c>
      <c r="E33" s="90">
        <v>1</v>
      </c>
      <c r="F33" s="90">
        <v>0</v>
      </c>
      <c r="G33" s="90">
        <v>14.13</v>
      </c>
      <c r="H33" s="90">
        <v>0</v>
      </c>
      <c r="I33" s="403">
        <f t="shared" si="0"/>
        <v>12.717</v>
      </c>
    </row>
    <row r="34" spans="1:9" ht="33.75">
      <c r="A34" s="402">
        <v>11950</v>
      </c>
      <c r="B34" s="82" t="s">
        <v>333</v>
      </c>
      <c r="C34" s="83" t="s">
        <v>136</v>
      </c>
      <c r="D34" s="89">
        <v>4</v>
      </c>
      <c r="E34" s="90">
        <v>1</v>
      </c>
      <c r="F34" s="90">
        <v>0</v>
      </c>
      <c r="G34" s="90">
        <v>0.12</v>
      </c>
      <c r="H34" s="90">
        <v>0</v>
      </c>
      <c r="I34" s="403">
        <f>G34*D34</f>
        <v>0.48</v>
      </c>
    </row>
    <row r="35" spans="1:9" ht="22.5" customHeight="1">
      <c r="A35" s="492">
        <v>13521</v>
      </c>
      <c r="B35" s="493" t="s">
        <v>334</v>
      </c>
      <c r="C35" s="83" t="s">
        <v>136</v>
      </c>
      <c r="D35" s="494">
        <v>1</v>
      </c>
      <c r="E35" s="90">
        <v>1</v>
      </c>
      <c r="F35" s="90">
        <v>0</v>
      </c>
      <c r="G35" s="495">
        <v>99</v>
      </c>
      <c r="H35" s="90">
        <v>0</v>
      </c>
      <c r="I35" s="403">
        <f>G35*D35</f>
        <v>99</v>
      </c>
    </row>
    <row r="36" spans="1:9" ht="12.75">
      <c r="A36" s="204"/>
      <c r="B36" s="84"/>
      <c r="C36" s="84"/>
      <c r="D36" s="84"/>
      <c r="E36" s="84"/>
      <c r="F36" s="84"/>
      <c r="G36" s="84"/>
      <c r="H36" s="84"/>
      <c r="I36" s="416">
        <f>SUM(I28:I35)</f>
        <v>159.3275</v>
      </c>
    </row>
    <row r="37" spans="1:9" ht="12.75">
      <c r="A37" s="204"/>
      <c r="B37" s="84"/>
      <c r="C37" s="84"/>
      <c r="D37" s="84"/>
      <c r="E37" s="84"/>
      <c r="F37" s="84"/>
      <c r="G37" s="84"/>
      <c r="H37" s="84"/>
      <c r="I37" s="206"/>
    </row>
    <row r="38" spans="1:9" ht="32.25" customHeight="1">
      <c r="A38" s="692" t="s">
        <v>331</v>
      </c>
      <c r="B38" s="693"/>
      <c r="C38" s="693"/>
      <c r="D38" s="693"/>
      <c r="E38" s="693"/>
      <c r="F38" s="693"/>
      <c r="G38" s="693"/>
      <c r="H38" s="693"/>
      <c r="I38" s="694"/>
    </row>
    <row r="39" spans="1:9" ht="22.5">
      <c r="A39" s="414" t="s">
        <v>140</v>
      </c>
      <c r="B39" s="87" t="s">
        <v>141</v>
      </c>
      <c r="C39" s="87" t="s">
        <v>142</v>
      </c>
      <c r="D39" s="87" t="s">
        <v>143</v>
      </c>
      <c r="E39" s="88" t="s">
        <v>144</v>
      </c>
      <c r="F39" s="88" t="s">
        <v>145</v>
      </c>
      <c r="G39" s="88" t="s">
        <v>146</v>
      </c>
      <c r="H39" s="88" t="s">
        <v>147</v>
      </c>
      <c r="I39" s="415" t="s">
        <v>148</v>
      </c>
    </row>
    <row r="40" spans="1:9" ht="22.5">
      <c r="A40" s="402" t="s">
        <v>166</v>
      </c>
      <c r="B40" s="82" t="s">
        <v>167</v>
      </c>
      <c r="C40" s="83" t="s">
        <v>1</v>
      </c>
      <c r="D40" s="89">
        <v>3.2</v>
      </c>
      <c r="E40" s="90">
        <v>1</v>
      </c>
      <c r="F40" s="90">
        <v>0</v>
      </c>
      <c r="G40" s="90">
        <v>8.06</v>
      </c>
      <c r="H40" s="90">
        <v>0</v>
      </c>
      <c r="I40" s="403">
        <f>D40*G40</f>
        <v>25.792</v>
      </c>
    </row>
    <row r="41" spans="1:9" ht="22.5">
      <c r="A41" s="402" t="s">
        <v>177</v>
      </c>
      <c r="B41" s="82" t="s">
        <v>178</v>
      </c>
      <c r="C41" s="83" t="s">
        <v>19</v>
      </c>
      <c r="D41" s="89">
        <v>0.3</v>
      </c>
      <c r="E41" s="90">
        <v>1</v>
      </c>
      <c r="F41" s="90">
        <v>0</v>
      </c>
      <c r="G41" s="90">
        <v>693</v>
      </c>
      <c r="H41" s="90">
        <v>0</v>
      </c>
      <c r="I41" s="403">
        <f aca="true" t="shared" si="1" ref="I41:I50">D41*G41</f>
        <v>207.9</v>
      </c>
    </row>
    <row r="42" spans="1:9" ht="12.75">
      <c r="A42" s="402" t="s">
        <v>179</v>
      </c>
      <c r="B42" s="82" t="s">
        <v>180</v>
      </c>
      <c r="C42" s="83" t="s">
        <v>149</v>
      </c>
      <c r="D42" s="89">
        <v>0.36</v>
      </c>
      <c r="E42" s="90">
        <v>1</v>
      </c>
      <c r="F42" s="90">
        <v>0</v>
      </c>
      <c r="G42" s="90">
        <v>1.25</v>
      </c>
      <c r="H42" s="90">
        <v>0</v>
      </c>
      <c r="I42" s="403">
        <f t="shared" si="1"/>
        <v>0.44999999999999996</v>
      </c>
    </row>
    <row r="43" spans="1:9" ht="12.75">
      <c r="A43" s="402" t="s">
        <v>181</v>
      </c>
      <c r="B43" s="82" t="s">
        <v>182</v>
      </c>
      <c r="C43" s="83" t="s">
        <v>136</v>
      </c>
      <c r="D43" s="89">
        <v>0.036</v>
      </c>
      <c r="E43" s="90">
        <v>1</v>
      </c>
      <c r="F43" s="90">
        <v>0</v>
      </c>
      <c r="G43" s="90">
        <v>1.59</v>
      </c>
      <c r="H43" s="90">
        <v>0</v>
      </c>
      <c r="I43" s="403">
        <f t="shared" si="1"/>
        <v>0.05724</v>
      </c>
    </row>
    <row r="44" spans="1:9" ht="22.5">
      <c r="A44" s="402" t="s">
        <v>183</v>
      </c>
      <c r="B44" s="82" t="s">
        <v>184</v>
      </c>
      <c r="C44" s="83" t="s">
        <v>153</v>
      </c>
      <c r="D44" s="89">
        <v>0.01</v>
      </c>
      <c r="E44" s="90">
        <v>1</v>
      </c>
      <c r="F44" s="90">
        <v>0</v>
      </c>
      <c r="G44" s="90">
        <v>97.84</v>
      </c>
      <c r="H44" s="90">
        <v>0</v>
      </c>
      <c r="I44" s="403">
        <f t="shared" si="1"/>
        <v>0.9784</v>
      </c>
    </row>
    <row r="45" spans="1:9" ht="22.5">
      <c r="A45" s="402">
        <v>93358</v>
      </c>
      <c r="B45" s="82" t="s">
        <v>185</v>
      </c>
      <c r="C45" s="83" t="s">
        <v>31</v>
      </c>
      <c r="D45" s="89">
        <v>0.03</v>
      </c>
      <c r="E45" s="90">
        <v>1</v>
      </c>
      <c r="F45" s="90">
        <v>0</v>
      </c>
      <c r="G45" s="90">
        <v>55.89</v>
      </c>
      <c r="H45" s="90">
        <v>0</v>
      </c>
      <c r="I45" s="403">
        <f t="shared" si="1"/>
        <v>1.6766999999999999</v>
      </c>
    </row>
    <row r="46" spans="1:9" ht="33.75">
      <c r="A46" s="402">
        <v>94963</v>
      </c>
      <c r="B46" s="82" t="s">
        <v>186</v>
      </c>
      <c r="C46" s="83" t="s">
        <v>31</v>
      </c>
      <c r="D46" s="89">
        <v>0.03</v>
      </c>
      <c r="E46" s="90">
        <v>1</v>
      </c>
      <c r="F46" s="90">
        <v>0</v>
      </c>
      <c r="G46" s="90">
        <v>254.38</v>
      </c>
      <c r="H46" s="90">
        <v>0</v>
      </c>
      <c r="I46" s="403">
        <f t="shared" si="1"/>
        <v>7.631399999999999</v>
      </c>
    </row>
    <row r="47" spans="1:9" ht="22.5">
      <c r="A47" s="402">
        <v>92873</v>
      </c>
      <c r="B47" s="82" t="s">
        <v>154</v>
      </c>
      <c r="C47" s="83" t="s">
        <v>31</v>
      </c>
      <c r="D47" s="89">
        <v>0.03</v>
      </c>
      <c r="E47" s="90">
        <v>1</v>
      </c>
      <c r="F47" s="90">
        <v>0</v>
      </c>
      <c r="G47" s="90">
        <v>143.5</v>
      </c>
      <c r="H47" s="90">
        <v>0</v>
      </c>
      <c r="I47" s="403">
        <f t="shared" si="1"/>
        <v>4.305</v>
      </c>
    </row>
    <row r="48" spans="1:9" ht="12.75">
      <c r="A48" s="402" t="s">
        <v>175</v>
      </c>
      <c r="B48" s="82" t="s">
        <v>176</v>
      </c>
      <c r="C48" s="83" t="s">
        <v>110</v>
      </c>
      <c r="D48" s="89">
        <v>0.25</v>
      </c>
      <c r="E48" s="90">
        <v>1</v>
      </c>
      <c r="F48" s="90">
        <v>0</v>
      </c>
      <c r="G48" s="90">
        <v>18.48</v>
      </c>
      <c r="H48" s="90">
        <v>0</v>
      </c>
      <c r="I48" s="403">
        <f t="shared" si="1"/>
        <v>4.62</v>
      </c>
    </row>
    <row r="49" spans="1:9" ht="12.75">
      <c r="A49" s="402" t="s">
        <v>158</v>
      </c>
      <c r="B49" s="82" t="s">
        <v>159</v>
      </c>
      <c r="C49" s="83" t="s">
        <v>110</v>
      </c>
      <c r="D49" s="89">
        <v>0.2</v>
      </c>
      <c r="E49" s="90">
        <v>1</v>
      </c>
      <c r="F49" s="90">
        <v>0</v>
      </c>
      <c r="G49" s="90">
        <v>17.37</v>
      </c>
      <c r="H49" s="90">
        <v>0</v>
      </c>
      <c r="I49" s="403">
        <f t="shared" si="1"/>
        <v>3.474</v>
      </c>
    </row>
    <row r="50" spans="1:9" ht="12.75">
      <c r="A50" s="402" t="s">
        <v>160</v>
      </c>
      <c r="B50" s="82" t="s">
        <v>161</v>
      </c>
      <c r="C50" s="83" t="s">
        <v>110</v>
      </c>
      <c r="D50" s="89">
        <v>0.2</v>
      </c>
      <c r="E50" s="90">
        <v>1</v>
      </c>
      <c r="F50" s="90">
        <v>0</v>
      </c>
      <c r="G50" s="90">
        <v>14.13</v>
      </c>
      <c r="H50" s="90">
        <v>0</v>
      </c>
      <c r="I50" s="403">
        <f t="shared" si="1"/>
        <v>2.8260000000000005</v>
      </c>
    </row>
    <row r="51" spans="1:9" ht="12.75">
      <c r="A51" s="204"/>
      <c r="B51" s="84"/>
      <c r="C51" s="84"/>
      <c r="D51" s="84"/>
      <c r="E51" s="84"/>
      <c r="F51" s="84"/>
      <c r="G51" s="84"/>
      <c r="H51" s="84"/>
      <c r="I51" s="416">
        <f>SUM(I40:I50)</f>
        <v>259.71074000000004</v>
      </c>
    </row>
    <row r="52" spans="1:9" ht="12.75">
      <c r="A52" s="204"/>
      <c r="B52" s="84"/>
      <c r="C52" s="84"/>
      <c r="D52" s="84"/>
      <c r="E52" s="84"/>
      <c r="F52" s="84"/>
      <c r="G52" s="84"/>
      <c r="H52" s="84"/>
      <c r="I52" s="205"/>
    </row>
    <row r="53" spans="1:9" ht="12.75">
      <c r="A53" s="412" t="s">
        <v>320</v>
      </c>
      <c r="B53" s="86"/>
      <c r="C53" s="86"/>
      <c r="D53" s="86"/>
      <c r="E53" s="86"/>
      <c r="F53" s="86"/>
      <c r="G53" s="86"/>
      <c r="H53" s="86"/>
      <c r="I53" s="413"/>
    </row>
    <row r="54" spans="1:9" ht="22.5">
      <c r="A54" s="414" t="s">
        <v>140</v>
      </c>
      <c r="B54" s="87" t="s">
        <v>141</v>
      </c>
      <c r="C54" s="87" t="s">
        <v>142</v>
      </c>
      <c r="D54" s="87" t="s">
        <v>143</v>
      </c>
      <c r="E54" s="88" t="s">
        <v>144</v>
      </c>
      <c r="F54" s="88" t="s">
        <v>145</v>
      </c>
      <c r="G54" s="88" t="s">
        <v>146</v>
      </c>
      <c r="H54" s="88" t="s">
        <v>147</v>
      </c>
      <c r="I54" s="415" t="s">
        <v>148</v>
      </c>
    </row>
    <row r="55" spans="1:9" ht="33.75">
      <c r="A55" s="402" t="s">
        <v>150</v>
      </c>
      <c r="B55" s="82" t="s">
        <v>151</v>
      </c>
      <c r="C55" s="83" t="s">
        <v>31</v>
      </c>
      <c r="D55" s="89">
        <v>0.033</v>
      </c>
      <c r="E55" s="90">
        <v>1</v>
      </c>
      <c r="F55" s="90">
        <v>0</v>
      </c>
      <c r="G55" s="90">
        <v>254.38</v>
      </c>
      <c r="H55" s="90">
        <v>0</v>
      </c>
      <c r="I55" s="403">
        <f>G55*D55</f>
        <v>8.394540000000001</v>
      </c>
    </row>
    <row r="56" spans="1:9" ht="12.75">
      <c r="A56" s="402">
        <v>93358</v>
      </c>
      <c r="B56" s="82" t="s">
        <v>152</v>
      </c>
      <c r="C56" s="83" t="s">
        <v>31</v>
      </c>
      <c r="D56" s="89">
        <v>0.033</v>
      </c>
      <c r="E56" s="90">
        <v>1</v>
      </c>
      <c r="F56" s="90">
        <v>0</v>
      </c>
      <c r="G56" s="90">
        <v>55.89</v>
      </c>
      <c r="H56" s="90">
        <v>0</v>
      </c>
      <c r="I56" s="403">
        <f>G56*D56</f>
        <v>1.84437</v>
      </c>
    </row>
    <row r="57" spans="1:9" ht="22.5">
      <c r="A57" s="402">
        <v>92873</v>
      </c>
      <c r="B57" s="82" t="s">
        <v>154</v>
      </c>
      <c r="C57" s="83" t="s">
        <v>31</v>
      </c>
      <c r="D57" s="89">
        <v>0.033</v>
      </c>
      <c r="E57" s="90">
        <v>1</v>
      </c>
      <c r="F57" s="90">
        <v>0</v>
      </c>
      <c r="G57" s="90">
        <v>143.5</v>
      </c>
      <c r="H57" s="90">
        <v>0</v>
      </c>
      <c r="I57" s="403">
        <f>G57*D57</f>
        <v>4.7355</v>
      </c>
    </row>
    <row r="58" spans="1:11" ht="33.75">
      <c r="A58" s="402" t="s">
        <v>155</v>
      </c>
      <c r="B58" s="82" t="s">
        <v>156</v>
      </c>
      <c r="C58" s="83" t="s">
        <v>1</v>
      </c>
      <c r="D58" s="89">
        <v>1</v>
      </c>
      <c r="E58" s="90">
        <v>1</v>
      </c>
      <c r="F58" s="90">
        <v>0</v>
      </c>
      <c r="G58" s="90">
        <f>I24</f>
        <v>3.2487900000000005</v>
      </c>
      <c r="H58" s="90">
        <v>0</v>
      </c>
      <c r="I58" s="403">
        <f>G58*D58</f>
        <v>3.2487900000000005</v>
      </c>
      <c r="K58" s="200"/>
    </row>
    <row r="59" spans="1:9" ht="12.75">
      <c r="A59" s="204"/>
      <c r="B59" s="84"/>
      <c r="C59" s="84"/>
      <c r="D59" s="84"/>
      <c r="E59" s="84"/>
      <c r="F59" s="84"/>
      <c r="G59" s="84"/>
      <c r="H59" s="84"/>
      <c r="I59" s="416">
        <f>SUM(I55:I58)</f>
        <v>18.223200000000002</v>
      </c>
    </row>
    <row r="60" spans="1:9" ht="13.5" thickBot="1">
      <c r="A60" s="204"/>
      <c r="B60" s="84"/>
      <c r="C60" s="84"/>
      <c r="D60" s="84"/>
      <c r="E60" s="84"/>
      <c r="F60" s="84"/>
      <c r="G60" s="84"/>
      <c r="H60" s="84"/>
      <c r="I60" s="205"/>
    </row>
    <row r="61" spans="1:11" s="487" customFormat="1" ht="17.25" thickBot="1">
      <c r="A61" s="480" t="s">
        <v>272</v>
      </c>
      <c r="B61" s="481" t="s">
        <v>273</v>
      </c>
      <c r="C61" s="481"/>
      <c r="D61" s="482">
        <v>1</v>
      </c>
      <c r="E61" s="698"/>
      <c r="F61" s="698"/>
      <c r="G61" s="483">
        <v>673.66</v>
      </c>
      <c r="H61" s="482"/>
      <c r="I61" s="484">
        <f>SUM(I62:I66)</f>
        <v>635.17</v>
      </c>
      <c r="J61" s="485"/>
      <c r="K61" s="486"/>
    </row>
    <row r="62" spans="1:11" s="278" customFormat="1" ht="38.25">
      <c r="A62" s="418" t="s">
        <v>275</v>
      </c>
      <c r="B62" s="405" t="s">
        <v>276</v>
      </c>
      <c r="C62" s="405"/>
      <c r="D62" s="406">
        <v>1</v>
      </c>
      <c r="E62" s="699"/>
      <c r="F62" s="699"/>
      <c r="G62" s="407">
        <v>100.47</v>
      </c>
      <c r="H62" s="406"/>
      <c r="I62" s="419">
        <f>G62*D62</f>
        <v>100.47</v>
      </c>
      <c r="J62" s="408"/>
      <c r="K62" s="409"/>
    </row>
    <row r="63" spans="1:11" s="278" customFormat="1" ht="25.5">
      <c r="A63" s="420" t="s">
        <v>277</v>
      </c>
      <c r="B63" s="322" t="s">
        <v>278</v>
      </c>
      <c r="C63" s="322"/>
      <c r="D63" s="279">
        <v>1</v>
      </c>
      <c r="E63" s="688"/>
      <c r="F63" s="688"/>
      <c r="G63" s="280">
        <v>106.67</v>
      </c>
      <c r="H63" s="279"/>
      <c r="I63" s="421">
        <f>G63*D63</f>
        <v>106.67</v>
      </c>
      <c r="J63" s="408"/>
      <c r="K63" s="409"/>
    </row>
    <row r="64" spans="1:11" s="278" customFormat="1" ht="25.5">
      <c r="A64" s="420" t="s">
        <v>279</v>
      </c>
      <c r="B64" s="322" t="s">
        <v>280</v>
      </c>
      <c r="C64" s="322"/>
      <c r="D64" s="279">
        <v>1</v>
      </c>
      <c r="E64" s="688"/>
      <c r="F64" s="688"/>
      <c r="G64" s="280">
        <v>69.52</v>
      </c>
      <c r="H64" s="279"/>
      <c r="I64" s="421">
        <f>G64*D64</f>
        <v>69.52</v>
      </c>
      <c r="J64" s="408"/>
      <c r="K64" s="409"/>
    </row>
    <row r="65" spans="1:11" s="278" customFormat="1" ht="16.5">
      <c r="A65" s="420" t="s">
        <v>281</v>
      </c>
      <c r="B65" s="322" t="s">
        <v>282</v>
      </c>
      <c r="C65" s="322"/>
      <c r="D65" s="279">
        <v>1</v>
      </c>
      <c r="E65" s="688"/>
      <c r="F65" s="688"/>
      <c r="G65" s="280">
        <v>45.76</v>
      </c>
      <c r="H65" s="279"/>
      <c r="I65" s="421">
        <f>G65*D65</f>
        <v>45.76</v>
      </c>
      <c r="J65" s="408"/>
      <c r="K65" s="409"/>
    </row>
    <row r="66" spans="1:11" s="278" customFormat="1" ht="38.25">
      <c r="A66" s="420" t="s">
        <v>283</v>
      </c>
      <c r="B66" s="322" t="s">
        <v>284</v>
      </c>
      <c r="C66" s="322"/>
      <c r="D66" s="279">
        <v>15</v>
      </c>
      <c r="E66" s="688"/>
      <c r="F66" s="688"/>
      <c r="G66" s="280">
        <v>20.85</v>
      </c>
      <c r="H66" s="279"/>
      <c r="I66" s="421">
        <f>G66*D66</f>
        <v>312.75</v>
      </c>
      <c r="J66" s="408"/>
      <c r="K66" s="409"/>
    </row>
    <row r="67" spans="1:11" ht="12.75">
      <c r="A67" s="204"/>
      <c r="B67" s="281"/>
      <c r="C67" s="84"/>
      <c r="D67" s="84"/>
      <c r="E67" s="84"/>
      <c r="F67" s="84"/>
      <c r="G67" s="282"/>
      <c r="H67" s="84"/>
      <c r="I67" s="205"/>
      <c r="J67" s="410"/>
      <c r="K67" s="410"/>
    </row>
    <row r="68" spans="1:11" ht="13.5" thickBot="1">
      <c r="A68" s="204"/>
      <c r="B68" s="84"/>
      <c r="C68" s="84"/>
      <c r="D68" s="84"/>
      <c r="E68" s="84"/>
      <c r="F68" s="84"/>
      <c r="G68" s="84"/>
      <c r="H68" s="84"/>
      <c r="I68" s="205"/>
      <c r="J68" s="410"/>
      <c r="K68" s="410"/>
    </row>
    <row r="69" spans="1:11" s="491" customFormat="1" ht="39" customHeight="1" thickBot="1">
      <c r="A69" s="480" t="s">
        <v>321</v>
      </c>
      <c r="B69" s="700" t="s">
        <v>274</v>
      </c>
      <c r="C69" s="701"/>
      <c r="D69" s="482">
        <v>1</v>
      </c>
      <c r="E69" s="488"/>
      <c r="F69" s="488"/>
      <c r="G69" s="483">
        <v>353.22</v>
      </c>
      <c r="H69" s="488"/>
      <c r="I69" s="489">
        <f>SUM(I70:I74)</f>
        <v>347.47339999999997</v>
      </c>
      <c r="J69" s="490"/>
      <c r="K69" s="490"/>
    </row>
    <row r="70" spans="1:9" s="477" customFormat="1" ht="25.5">
      <c r="A70" s="471" t="s">
        <v>285</v>
      </c>
      <c r="B70" s="472" t="s">
        <v>290</v>
      </c>
      <c r="C70" s="473"/>
      <c r="D70" s="474">
        <v>1</v>
      </c>
      <c r="E70" s="473"/>
      <c r="F70" s="473"/>
      <c r="G70" s="475">
        <v>17.24</v>
      </c>
      <c r="H70" s="473"/>
      <c r="I70" s="476">
        <f>G70*D70</f>
        <v>17.24</v>
      </c>
    </row>
    <row r="71" spans="1:9" s="477" customFormat="1" ht="76.5">
      <c r="A71" s="478" t="s">
        <v>286</v>
      </c>
      <c r="B71" s="281" t="s">
        <v>291</v>
      </c>
      <c r="C71" s="473"/>
      <c r="D71" s="479">
        <v>0.01</v>
      </c>
      <c r="E71" s="473"/>
      <c r="F71" s="473"/>
      <c r="G71" s="282">
        <v>97.84</v>
      </c>
      <c r="H71" s="473"/>
      <c r="I71" s="476">
        <f>G71*D71</f>
        <v>0.9784</v>
      </c>
    </row>
    <row r="72" spans="1:9" s="477" customFormat="1" ht="12.75">
      <c r="A72" s="478" t="s">
        <v>287</v>
      </c>
      <c r="B72" s="281" t="s">
        <v>292</v>
      </c>
      <c r="C72" s="473"/>
      <c r="D72" s="479">
        <v>1.5</v>
      </c>
      <c r="E72" s="473"/>
      <c r="F72" s="473"/>
      <c r="G72" s="282">
        <v>14.13</v>
      </c>
      <c r="H72" s="473"/>
      <c r="I72" s="476">
        <f>G72*D72</f>
        <v>21.195</v>
      </c>
    </row>
    <row r="73" spans="1:9" s="477" customFormat="1" ht="38.25">
      <c r="A73" s="478" t="s">
        <v>288</v>
      </c>
      <c r="B73" s="281" t="s">
        <v>293</v>
      </c>
      <c r="C73" s="473"/>
      <c r="D73" s="479">
        <v>1</v>
      </c>
      <c r="E73" s="473"/>
      <c r="F73" s="473"/>
      <c r="G73" s="282">
        <v>8.06</v>
      </c>
      <c r="H73" s="473"/>
      <c r="I73" s="476">
        <f>G73*D73</f>
        <v>8.06</v>
      </c>
    </row>
    <row r="74" spans="1:9" s="477" customFormat="1" ht="38.25">
      <c r="A74" s="478" t="s">
        <v>289</v>
      </c>
      <c r="B74" s="281" t="s">
        <v>294</v>
      </c>
      <c r="C74" s="473"/>
      <c r="D74" s="479">
        <v>1</v>
      </c>
      <c r="E74" s="473"/>
      <c r="F74" s="473"/>
      <c r="G74" s="282">
        <v>300</v>
      </c>
      <c r="H74" s="473"/>
      <c r="I74" s="476">
        <f>G74*D74</f>
        <v>300</v>
      </c>
    </row>
    <row r="75" spans="1:9" ht="13.5" thickBot="1">
      <c r="A75" s="204"/>
      <c r="B75" s="84"/>
      <c r="C75" s="84"/>
      <c r="D75" s="84"/>
      <c r="E75" s="84"/>
      <c r="F75" s="84"/>
      <c r="G75" s="84"/>
      <c r="H75" s="84"/>
      <c r="I75" s="205"/>
    </row>
    <row r="76" spans="1:9" ht="13.5" thickBot="1">
      <c r="A76" s="689" t="s">
        <v>322</v>
      </c>
      <c r="B76" s="690"/>
      <c r="C76" s="690"/>
      <c r="D76" s="690"/>
      <c r="E76" s="690"/>
      <c r="F76" s="690"/>
      <c r="G76" s="690"/>
      <c r="H76" s="690"/>
      <c r="I76" s="691"/>
    </row>
    <row r="77" spans="1:9" ht="22.5">
      <c r="A77" s="398" t="s">
        <v>140</v>
      </c>
      <c r="B77" s="399" t="s">
        <v>141</v>
      </c>
      <c r="C77" s="399" t="s">
        <v>142</v>
      </c>
      <c r="D77" s="399" t="s">
        <v>143</v>
      </c>
      <c r="E77" s="400" t="s">
        <v>144</v>
      </c>
      <c r="F77" s="400" t="s">
        <v>145</v>
      </c>
      <c r="G77" s="400" t="s">
        <v>146</v>
      </c>
      <c r="H77" s="400" t="s">
        <v>147</v>
      </c>
      <c r="I77" s="401" t="s">
        <v>148</v>
      </c>
    </row>
    <row r="78" spans="1:9" ht="22.5">
      <c r="A78" s="402">
        <v>4417</v>
      </c>
      <c r="B78" s="82" t="s">
        <v>314</v>
      </c>
      <c r="C78" s="83" t="s">
        <v>1</v>
      </c>
      <c r="D78" s="89">
        <v>1</v>
      </c>
      <c r="E78" s="90">
        <v>1</v>
      </c>
      <c r="F78" s="90">
        <v>0</v>
      </c>
      <c r="G78" s="90">
        <v>3.5</v>
      </c>
      <c r="H78" s="90">
        <v>0</v>
      </c>
      <c r="I78" s="403">
        <f>D78*G78</f>
        <v>3.5</v>
      </c>
    </row>
    <row r="79" spans="1:9" ht="22.5">
      <c r="A79" s="402">
        <v>4491</v>
      </c>
      <c r="B79" s="82" t="s">
        <v>315</v>
      </c>
      <c r="C79" s="83" t="s">
        <v>1</v>
      </c>
      <c r="D79" s="89">
        <v>4</v>
      </c>
      <c r="E79" s="90">
        <v>1</v>
      </c>
      <c r="F79" s="90">
        <v>0</v>
      </c>
      <c r="G79" s="90">
        <v>3.11</v>
      </c>
      <c r="H79" s="90">
        <v>0</v>
      </c>
      <c r="I79" s="403">
        <f aca="true" t="shared" si="2" ref="I79:I84">D79*G79</f>
        <v>12.44</v>
      </c>
    </row>
    <row r="80" spans="1:9" ht="22.5">
      <c r="A80" s="402">
        <v>4813</v>
      </c>
      <c r="B80" s="82" t="s">
        <v>316</v>
      </c>
      <c r="C80" s="83" t="s">
        <v>19</v>
      </c>
      <c r="D80" s="89">
        <v>1</v>
      </c>
      <c r="E80" s="90">
        <v>1</v>
      </c>
      <c r="F80" s="90">
        <v>0</v>
      </c>
      <c r="G80" s="90">
        <v>300</v>
      </c>
      <c r="H80" s="90">
        <v>0</v>
      </c>
      <c r="I80" s="403">
        <f t="shared" si="2"/>
        <v>300</v>
      </c>
    </row>
    <row r="81" spans="1:9" ht="22.5">
      <c r="A81" s="402">
        <v>5075</v>
      </c>
      <c r="B81" s="82" t="s">
        <v>317</v>
      </c>
      <c r="C81" s="83" t="s">
        <v>149</v>
      </c>
      <c r="D81" s="89">
        <v>0.11</v>
      </c>
      <c r="E81" s="90">
        <v>1</v>
      </c>
      <c r="F81" s="90">
        <v>0</v>
      </c>
      <c r="G81" s="90">
        <v>11.19</v>
      </c>
      <c r="H81" s="90">
        <v>0</v>
      </c>
      <c r="I81" s="403">
        <f t="shared" si="2"/>
        <v>1.2308999999999999</v>
      </c>
    </row>
    <row r="82" spans="1:9" ht="12.75">
      <c r="A82" s="402">
        <v>88262</v>
      </c>
      <c r="B82" s="82" t="s">
        <v>174</v>
      </c>
      <c r="C82" s="83" t="s">
        <v>110</v>
      </c>
      <c r="D82" s="89">
        <v>1</v>
      </c>
      <c r="E82" s="90">
        <v>1</v>
      </c>
      <c r="F82" s="90">
        <v>0</v>
      </c>
      <c r="G82" s="90">
        <v>17.24</v>
      </c>
      <c r="H82" s="90">
        <v>0</v>
      </c>
      <c r="I82" s="403">
        <f t="shared" si="2"/>
        <v>17.24</v>
      </c>
    </row>
    <row r="83" spans="1:9" ht="12.75">
      <c r="A83" s="402">
        <v>94962</v>
      </c>
      <c r="B83" s="82" t="s">
        <v>318</v>
      </c>
      <c r="C83" s="83" t="s">
        <v>31</v>
      </c>
      <c r="D83" s="89">
        <v>0.01</v>
      </c>
      <c r="E83" s="90">
        <v>1</v>
      </c>
      <c r="F83" s="90">
        <v>0</v>
      </c>
      <c r="G83" s="90">
        <v>227.59</v>
      </c>
      <c r="H83" s="90">
        <v>0</v>
      </c>
      <c r="I83" s="403">
        <f t="shared" si="2"/>
        <v>2.2759</v>
      </c>
    </row>
    <row r="84" spans="1:9" ht="12.75">
      <c r="A84" s="402" t="s">
        <v>160</v>
      </c>
      <c r="B84" s="82" t="s">
        <v>161</v>
      </c>
      <c r="C84" s="83" t="s">
        <v>110</v>
      </c>
      <c r="D84" s="89">
        <v>2</v>
      </c>
      <c r="E84" s="90">
        <v>1</v>
      </c>
      <c r="F84" s="90">
        <v>0</v>
      </c>
      <c r="G84" s="90">
        <v>14.13</v>
      </c>
      <c r="H84" s="90">
        <v>0</v>
      </c>
      <c r="I84" s="403">
        <f t="shared" si="2"/>
        <v>28.26</v>
      </c>
    </row>
    <row r="85" spans="1:9" ht="13.5" thickBot="1">
      <c r="A85" s="207"/>
      <c r="B85" s="208"/>
      <c r="C85" s="208"/>
      <c r="D85" s="208"/>
      <c r="E85" s="208"/>
      <c r="F85" s="208"/>
      <c r="G85" s="208"/>
      <c r="H85" s="208"/>
      <c r="I85" s="404">
        <f>SUM(I78:I84)</f>
        <v>364.9468</v>
      </c>
    </row>
  </sheetData>
  <sheetProtection/>
  <mergeCells count="10">
    <mergeCell ref="E64:F64"/>
    <mergeCell ref="E65:F65"/>
    <mergeCell ref="E66:F66"/>
    <mergeCell ref="A76:I76"/>
    <mergeCell ref="A38:I38"/>
    <mergeCell ref="A2:I2"/>
    <mergeCell ref="E61:F61"/>
    <mergeCell ref="E62:F62"/>
    <mergeCell ref="E63:F63"/>
    <mergeCell ref="B69:C69"/>
  </mergeCells>
  <printOptions/>
  <pageMargins left="0.984251968503937" right="0.5118110236220472" top="0.7874015748031497" bottom="0.7874015748031497" header="0.31496062992125984" footer="0.31496062992125984"/>
  <pageSetup fitToHeight="0" fitToWidth="1" horizontalDpi="600" verticalDpi="600" orientation="portrait" paperSize="9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"/>
  <sheetViews>
    <sheetView zoomScalePageLayoutView="0" workbookViewId="0" topLeftCell="I31">
      <selection activeCell="N44" sqref="N44"/>
    </sheetView>
  </sheetViews>
  <sheetFormatPr defaultColWidth="0" defaultRowHeight="12.75" customHeight="1" zeroHeight="1"/>
  <cols>
    <col min="1" max="1" width="30.28125" style="28" hidden="1" customWidth="1"/>
    <col min="2" max="3" width="9.140625" style="28" hidden="1" customWidth="1"/>
    <col min="4" max="4" width="23.57421875" style="28" hidden="1" customWidth="1"/>
    <col min="5" max="8" width="9.140625" style="28" hidden="1" customWidth="1"/>
    <col min="9" max="14" width="10.7109375" style="28" customWidth="1"/>
    <col min="15" max="15" width="10.7109375" style="28" hidden="1" customWidth="1"/>
    <col min="16" max="18" width="10.7109375" style="28" customWidth="1"/>
    <col min="19" max="19" width="4.421875" style="28" customWidth="1"/>
    <col min="20" max="21" width="9.140625" style="28" customWidth="1"/>
    <col min="22" max="16384" width="0" style="28" hidden="1" customWidth="1"/>
  </cols>
  <sheetData>
    <row r="1" spans="1:18" ht="15" customHeight="1">
      <c r="A1" s="58"/>
      <c r="B1" s="59"/>
      <c r="C1" s="59"/>
      <c r="D1" s="59"/>
      <c r="E1" s="60" t="s">
        <v>51</v>
      </c>
      <c r="F1" s="60" t="s">
        <v>52</v>
      </c>
      <c r="G1" s="60" t="s">
        <v>53</v>
      </c>
      <c r="H1" s="59"/>
      <c r="I1" s="59"/>
      <c r="J1" s="59"/>
      <c r="K1" s="59"/>
      <c r="L1" s="59"/>
      <c r="M1" s="59"/>
      <c r="N1" s="61"/>
      <c r="O1" s="59"/>
      <c r="P1" s="59"/>
      <c r="Q1" s="958"/>
      <c r="R1" s="959"/>
    </row>
    <row r="2" spans="1:18" ht="30" customHeight="1">
      <c r="A2" s="62" t="s">
        <v>54</v>
      </c>
      <c r="B2" s="56" t="s">
        <v>55</v>
      </c>
      <c r="C2" s="51" t="str">
        <f aca="true" t="shared" si="0" ref="C2:C47">CONCATENATE(A2,"-",B2)</f>
        <v>Construção e Reforma de Edifícios-AC</v>
      </c>
      <c r="D2" s="51"/>
      <c r="E2" s="57">
        <v>0.03</v>
      </c>
      <c r="F2" s="57">
        <v>0.04</v>
      </c>
      <c r="G2" s="57">
        <v>0.055</v>
      </c>
      <c r="H2" s="51"/>
      <c r="I2" s="964" t="s">
        <v>102</v>
      </c>
      <c r="J2" s="964"/>
      <c r="K2" s="964"/>
      <c r="L2" s="964"/>
      <c r="M2" s="964"/>
      <c r="N2" s="964"/>
      <c r="O2" s="964"/>
      <c r="P2" s="964"/>
      <c r="Q2" s="964"/>
      <c r="R2" s="965"/>
    </row>
    <row r="3" spans="1:18" ht="13.5" thickBot="1">
      <c r="A3" s="63" t="str">
        <f>A2</f>
        <v>Construção e Reforma de Edifícios</v>
      </c>
      <c r="B3" s="64" t="s">
        <v>56</v>
      </c>
      <c r="C3" s="65" t="str">
        <f t="shared" si="0"/>
        <v>Construção e Reforma de Edifícios-SG</v>
      </c>
      <c r="D3" s="65"/>
      <c r="E3" s="66">
        <v>0.008</v>
      </c>
      <c r="F3" s="66">
        <v>0.008</v>
      </c>
      <c r="G3" s="66">
        <v>0.01</v>
      </c>
      <c r="H3" s="65"/>
      <c r="I3" s="65"/>
      <c r="J3" s="65"/>
      <c r="K3" s="65"/>
      <c r="L3" s="65"/>
      <c r="M3" s="65"/>
      <c r="N3" s="65"/>
      <c r="O3" s="65"/>
      <c r="P3" s="65"/>
      <c r="Q3" s="65"/>
      <c r="R3" s="67"/>
    </row>
    <row r="4" spans="1:18" ht="12.75">
      <c r="A4" s="28" t="str">
        <f>A3</f>
        <v>Construção e Reforma de Edifícios</v>
      </c>
      <c r="B4" s="54" t="s">
        <v>57</v>
      </c>
      <c r="C4" s="28" t="str">
        <f t="shared" si="0"/>
        <v>Construção e Reforma de Edifícios-R</v>
      </c>
      <c r="E4" s="55">
        <v>0.0097</v>
      </c>
      <c r="F4" s="55">
        <v>0.0127</v>
      </c>
      <c r="G4" s="55">
        <v>0.0127</v>
      </c>
      <c r="I4" s="947" t="s">
        <v>369</v>
      </c>
      <c r="J4" s="949"/>
      <c r="K4" s="947" t="s">
        <v>59</v>
      </c>
      <c r="L4" s="948"/>
      <c r="M4" s="948"/>
      <c r="N4" s="948"/>
      <c r="O4" s="948"/>
      <c r="P4" s="948"/>
      <c r="Q4" s="948"/>
      <c r="R4" s="949"/>
    </row>
    <row r="5" spans="1:19" ht="12.75" customHeight="1">
      <c r="A5" s="28" t="str">
        <f>A4</f>
        <v>Construção e Reforma de Edifícios</v>
      </c>
      <c r="B5" s="29" t="s">
        <v>60</v>
      </c>
      <c r="C5" s="28" t="str">
        <f t="shared" si="0"/>
        <v>Construção e Reforma de Edifícios-DF</v>
      </c>
      <c r="E5" s="30">
        <v>0.0059</v>
      </c>
      <c r="F5" s="30">
        <v>0.0123</v>
      </c>
      <c r="G5" s="30">
        <v>0.0139</v>
      </c>
      <c r="I5" s="960" t="s">
        <v>370</v>
      </c>
      <c r="J5" s="961"/>
      <c r="K5" s="950" t="s">
        <v>111</v>
      </c>
      <c r="L5" s="962"/>
      <c r="M5" s="962"/>
      <c r="N5" s="962"/>
      <c r="O5" s="962"/>
      <c r="P5" s="962"/>
      <c r="Q5" s="962"/>
      <c r="R5" s="963"/>
      <c r="S5" s="32"/>
    </row>
    <row r="6" spans="1:18" ht="6" customHeight="1">
      <c r="A6" s="28" t="str">
        <f>A5</f>
        <v>Construção e Reforma de Edifícios</v>
      </c>
      <c r="B6" s="29" t="s">
        <v>61</v>
      </c>
      <c r="C6" s="28" t="str">
        <f t="shared" si="0"/>
        <v>Construção e Reforma de Edifícios-L</v>
      </c>
      <c r="E6" s="30">
        <v>0.0616</v>
      </c>
      <c r="F6" s="30">
        <v>0.07400000000000001</v>
      </c>
      <c r="G6" s="30">
        <v>0.08960000000000001</v>
      </c>
      <c r="I6" s="33"/>
      <c r="J6" s="33"/>
      <c r="K6" s="33"/>
      <c r="L6" s="33"/>
      <c r="M6" s="33"/>
      <c r="N6" s="33"/>
      <c r="O6" s="33"/>
      <c r="P6" s="33"/>
      <c r="Q6" s="33"/>
      <c r="R6" s="33"/>
    </row>
    <row r="7" spans="1:18" ht="13.5" customHeight="1">
      <c r="A7" s="28" t="str">
        <f>A6</f>
        <v>Construção e Reforma de Edifícios</v>
      </c>
      <c r="B7" s="34" t="s">
        <v>62</v>
      </c>
      <c r="C7" s="28" t="str">
        <f t="shared" si="0"/>
        <v>Construção e Reforma de Edifícios-BDI PAD</v>
      </c>
      <c r="E7" s="30">
        <v>0.2034</v>
      </c>
      <c r="F7" s="30">
        <v>0.2212</v>
      </c>
      <c r="G7" s="30">
        <v>0.25</v>
      </c>
      <c r="I7" s="947" t="s">
        <v>63</v>
      </c>
      <c r="J7" s="948"/>
      <c r="K7" s="948"/>
      <c r="L7" s="948"/>
      <c r="M7" s="948"/>
      <c r="N7" s="948"/>
      <c r="O7" s="948"/>
      <c r="P7" s="948"/>
      <c r="Q7" s="948"/>
      <c r="R7" s="949"/>
    </row>
    <row r="8" spans="1:18" ht="24.75" customHeight="1">
      <c r="A8" s="28" t="s">
        <v>64</v>
      </c>
      <c r="B8" s="29" t="s">
        <v>55</v>
      </c>
      <c r="C8" s="28" t="str">
        <f t="shared" si="0"/>
        <v>Construção de Praças Urbanas, Rodovias, Ferrovias e recapeamento e pavimentação de vias urbanas-AC</v>
      </c>
      <c r="E8" s="30">
        <v>0.038</v>
      </c>
      <c r="F8" s="30">
        <v>0.0401</v>
      </c>
      <c r="G8" s="30">
        <v>0.0467</v>
      </c>
      <c r="I8" s="950" t="s">
        <v>372</v>
      </c>
      <c r="J8" s="951"/>
      <c r="K8" s="951"/>
      <c r="L8" s="951"/>
      <c r="M8" s="951"/>
      <c r="N8" s="951"/>
      <c r="O8" s="951"/>
      <c r="P8" s="951"/>
      <c r="Q8" s="951"/>
      <c r="R8" s="952"/>
    </row>
    <row r="9" spans="1:18" ht="6" customHeight="1">
      <c r="A9" s="28" t="s">
        <v>64</v>
      </c>
      <c r="B9" s="29" t="s">
        <v>56</v>
      </c>
      <c r="C9" s="28" t="str">
        <f t="shared" si="0"/>
        <v>Construção de Praças Urbanas, Rodovias, Ferrovias e recapeamento e pavimentação de vias urbanas-SG</v>
      </c>
      <c r="E9" s="30">
        <v>0.0032</v>
      </c>
      <c r="F9" s="30">
        <v>0.004</v>
      </c>
      <c r="G9" s="30">
        <v>0.0074</v>
      </c>
      <c r="I9" s="33"/>
      <c r="J9" s="33"/>
      <c r="K9" s="33"/>
      <c r="L9" s="33"/>
      <c r="M9" s="33"/>
      <c r="N9" s="33"/>
      <c r="O9" s="33"/>
      <c r="P9" s="33"/>
      <c r="Q9" s="33"/>
      <c r="R9" s="33"/>
    </row>
    <row r="10" spans="1:18" ht="12.75">
      <c r="A10" s="28" t="s">
        <v>64</v>
      </c>
      <c r="B10" s="29" t="s">
        <v>57</v>
      </c>
      <c r="C10" s="28" t="str">
        <f t="shared" si="0"/>
        <v>Construção de Praças Urbanas, Rodovias, Ferrovias e recapeamento e pavimentação de vias urbanas-R</v>
      </c>
      <c r="E10" s="30">
        <v>0.005</v>
      </c>
      <c r="F10" s="30">
        <v>0.005600000000000001</v>
      </c>
      <c r="G10" s="30">
        <v>0.0097</v>
      </c>
      <c r="I10" s="947" t="s">
        <v>65</v>
      </c>
      <c r="J10" s="948"/>
      <c r="K10" s="948"/>
      <c r="L10" s="948"/>
      <c r="M10" s="948"/>
      <c r="N10" s="948"/>
      <c r="O10" s="948"/>
      <c r="P10" s="948"/>
      <c r="Q10" s="947" t="s">
        <v>66</v>
      </c>
      <c r="R10" s="949"/>
    </row>
    <row r="11" spans="1:18" ht="12.75">
      <c r="A11" s="28" t="s">
        <v>64</v>
      </c>
      <c r="B11" s="29" t="s">
        <v>60</v>
      </c>
      <c r="C11" s="28" t="str">
        <f t="shared" si="0"/>
        <v>Construção de Praças Urbanas, Rodovias, Ferrovias e recapeamento e pavimentação de vias urbanas-DF</v>
      </c>
      <c r="E11" s="30">
        <v>0.0102</v>
      </c>
      <c r="F11" s="30">
        <v>0.0111</v>
      </c>
      <c r="G11" s="30">
        <v>0.0121</v>
      </c>
      <c r="I11" s="953" t="s">
        <v>64</v>
      </c>
      <c r="J11" s="954"/>
      <c r="K11" s="954"/>
      <c r="L11" s="954"/>
      <c r="M11" s="954"/>
      <c r="N11" s="954"/>
      <c r="O11" s="954"/>
      <c r="P11" s="955"/>
      <c r="Q11" s="956" t="s">
        <v>112</v>
      </c>
      <c r="R11" s="957"/>
    </row>
    <row r="12" spans="1:7" ht="12.75">
      <c r="A12" s="28" t="s">
        <v>64</v>
      </c>
      <c r="B12" s="29" t="s">
        <v>61</v>
      </c>
      <c r="C12" s="28" t="str">
        <f t="shared" si="0"/>
        <v>Construção de Praças Urbanas, Rodovias, Ferrovias e recapeamento e pavimentação de vias urbanas-L</v>
      </c>
      <c r="E12" s="30">
        <v>0.0664</v>
      </c>
      <c r="F12" s="30">
        <v>0.073</v>
      </c>
      <c r="G12" s="30">
        <v>0.08689999999999999</v>
      </c>
    </row>
    <row r="13" spans="1:18" ht="15" customHeight="1">
      <c r="A13" s="28" t="s">
        <v>64</v>
      </c>
      <c r="B13" s="34" t="s">
        <v>62</v>
      </c>
      <c r="C13" s="28" t="str">
        <f t="shared" si="0"/>
        <v>Construção de Praças Urbanas, Rodovias, Ferrovias e recapeamento e pavimentação de vias urbanas-BDI PAD</v>
      </c>
      <c r="E13" s="30">
        <v>0.196</v>
      </c>
      <c r="F13" s="30">
        <v>0.2097</v>
      </c>
      <c r="G13" s="30">
        <v>0.24230000000000002</v>
      </c>
      <c r="I13" s="941" t="s">
        <v>67</v>
      </c>
      <c r="J13" s="941"/>
      <c r="K13" s="941"/>
      <c r="L13" s="941"/>
      <c r="M13" s="941"/>
      <c r="N13" s="941"/>
      <c r="O13" s="941"/>
      <c r="P13" s="941"/>
      <c r="Q13" s="942">
        <v>0.4</v>
      </c>
      <c r="R13" s="942"/>
    </row>
    <row r="14" spans="1:18" ht="15" customHeight="1">
      <c r="A14" s="28" t="s">
        <v>68</v>
      </c>
      <c r="B14" s="29" t="s">
        <v>55</v>
      </c>
      <c r="C14" s="28" t="str">
        <f t="shared" si="0"/>
        <v>Construção de Redes de Abastecimento de Água, Coleta de Esgoto-AC</v>
      </c>
      <c r="E14" s="30">
        <v>0.034300000000000004</v>
      </c>
      <c r="F14" s="30">
        <v>0.0493</v>
      </c>
      <c r="G14" s="30">
        <v>0.06709999999999999</v>
      </c>
      <c r="I14" s="943" t="s">
        <v>69</v>
      </c>
      <c r="J14" s="943"/>
      <c r="K14" s="943"/>
      <c r="L14" s="943"/>
      <c r="M14" s="943"/>
      <c r="N14" s="943"/>
      <c r="O14" s="943"/>
      <c r="P14" s="943"/>
      <c r="Q14" s="942">
        <v>0.02</v>
      </c>
      <c r="R14" s="942"/>
    </row>
    <row r="15" spans="1:7" ht="12.75">
      <c r="A15" s="28" t="str">
        <f>A14</f>
        <v>Construção de Redes de Abastecimento de Água, Coleta de Esgoto</v>
      </c>
      <c r="B15" s="29" t="s">
        <v>56</v>
      </c>
      <c r="C15" s="28" t="str">
        <f t="shared" si="0"/>
        <v>Construção de Redes de Abastecimento de Água, Coleta de Esgoto-SG</v>
      </c>
      <c r="E15" s="30">
        <v>0.0028000000000000004</v>
      </c>
      <c r="F15" s="30">
        <v>0.0049</v>
      </c>
      <c r="G15" s="30">
        <v>0.0075</v>
      </c>
    </row>
    <row r="16" spans="2:18" ht="15">
      <c r="B16" s="29"/>
      <c r="E16" s="30"/>
      <c r="F16" s="30"/>
      <c r="G16" s="30"/>
      <c r="I16" s="944" t="s">
        <v>70</v>
      </c>
      <c r="J16" s="944"/>
      <c r="K16" s="944"/>
      <c r="L16" s="944"/>
      <c r="M16" s="944" t="s">
        <v>71</v>
      </c>
      <c r="N16" s="945" t="s">
        <v>72</v>
      </c>
      <c r="O16" s="945" t="s">
        <v>73</v>
      </c>
      <c r="P16" s="946" t="s">
        <v>74</v>
      </c>
      <c r="Q16" s="946"/>
      <c r="R16" s="946"/>
    </row>
    <row r="17" spans="1:18" ht="15">
      <c r="A17" s="28" t="str">
        <f>A15</f>
        <v>Construção de Redes de Abastecimento de Água, Coleta de Esgoto</v>
      </c>
      <c r="B17" s="29" t="s">
        <v>57</v>
      </c>
      <c r="C17" s="28" t="str">
        <f t="shared" si="0"/>
        <v>Construção de Redes de Abastecimento de Água, Coleta de Esgoto-R</v>
      </c>
      <c r="E17" s="30">
        <v>0.01</v>
      </c>
      <c r="F17" s="30">
        <v>0.0139</v>
      </c>
      <c r="G17" s="30">
        <v>0.0174</v>
      </c>
      <c r="I17" s="944"/>
      <c r="J17" s="944"/>
      <c r="K17" s="944"/>
      <c r="L17" s="944"/>
      <c r="M17" s="944"/>
      <c r="N17" s="945"/>
      <c r="O17" s="945"/>
      <c r="P17" s="35" t="s">
        <v>75</v>
      </c>
      <c r="Q17" s="35" t="s">
        <v>76</v>
      </c>
      <c r="R17" s="36" t="s">
        <v>77</v>
      </c>
    </row>
    <row r="18" spans="1:18" ht="30.75" customHeight="1">
      <c r="A18" s="28" t="str">
        <f>A17</f>
        <v>Construção de Redes de Abastecimento de Água, Coleta de Esgoto</v>
      </c>
      <c r="B18" s="29" t="s">
        <v>60</v>
      </c>
      <c r="C18" s="28" t="str">
        <f t="shared" si="0"/>
        <v>Construção de Redes de Abastecimento de Água, Coleta de Esgoto-DF</v>
      </c>
      <c r="E18" s="30">
        <v>0.009399999999999999</v>
      </c>
      <c r="F18" s="30">
        <v>0.009899999999999999</v>
      </c>
      <c r="G18" s="30">
        <v>0.011699999999999999</v>
      </c>
      <c r="I18" s="936" t="str">
        <f>IF($I$11=$A$56,"Encargos Sociais incidentes sobre a mão de obra","Administração Central")</f>
        <v>Administração Central</v>
      </c>
      <c r="J18" s="936"/>
      <c r="K18" s="936"/>
      <c r="L18" s="936"/>
      <c r="M18" s="37" t="str">
        <f>IF($I$11=$A$56,"K1","AC")</f>
        <v>AC</v>
      </c>
      <c r="N18" s="38">
        <f aca="true" t="shared" si="1" ref="N18:N23">Q18</f>
        <v>0.0493</v>
      </c>
      <c r="O18" s="39" t="s">
        <v>78</v>
      </c>
      <c r="P18" s="40">
        <v>0.0343</v>
      </c>
      <c r="Q18" s="40">
        <v>0.0493</v>
      </c>
      <c r="R18" s="40">
        <v>0.0671</v>
      </c>
    </row>
    <row r="19" spans="1:18" ht="30.75" customHeight="1">
      <c r="A19" s="28" t="str">
        <f>A18</f>
        <v>Construção de Redes de Abastecimento de Água, Coleta de Esgoto</v>
      </c>
      <c r="B19" s="29" t="s">
        <v>61</v>
      </c>
      <c r="C19" s="28" t="str">
        <f t="shared" si="0"/>
        <v>Construção de Redes de Abastecimento de Água, Coleta de Esgoto-L</v>
      </c>
      <c r="E19" s="30">
        <v>0.0674</v>
      </c>
      <c r="F19" s="30">
        <v>0.08039999999999999</v>
      </c>
      <c r="G19" s="30">
        <v>0.094</v>
      </c>
      <c r="I19" s="936" t="str">
        <f>IF($I$11=$A$56,"Administração Central da empresa ou consultoria - overhead","Seguro e Garantia")</f>
        <v>Seguro e Garantia</v>
      </c>
      <c r="J19" s="936"/>
      <c r="K19" s="936"/>
      <c r="L19" s="936"/>
      <c r="M19" s="37" t="str">
        <f>IF($I$11=$A$56,"K2","SG")</f>
        <v>SG</v>
      </c>
      <c r="N19" s="38">
        <f t="shared" si="1"/>
        <v>0.0049</v>
      </c>
      <c r="O19" s="39" t="s">
        <v>78</v>
      </c>
      <c r="P19" s="40">
        <v>0.0028</v>
      </c>
      <c r="Q19" s="40">
        <v>0.0049</v>
      </c>
      <c r="R19" s="40">
        <v>0.0075</v>
      </c>
    </row>
    <row r="20" spans="1:18" ht="30.75" customHeight="1">
      <c r="A20" s="28" t="str">
        <f>A19</f>
        <v>Construção de Redes de Abastecimento de Água, Coleta de Esgoto</v>
      </c>
      <c r="B20" s="34" t="s">
        <v>62</v>
      </c>
      <c r="C20" s="28" t="str">
        <f t="shared" si="0"/>
        <v>Construção de Redes de Abastecimento de Água, Coleta de Esgoto-BDI PAD</v>
      </c>
      <c r="E20" s="30">
        <v>0.2076</v>
      </c>
      <c r="F20" s="30">
        <v>0.2418</v>
      </c>
      <c r="G20" s="30">
        <v>0.2644</v>
      </c>
      <c r="I20" s="936" t="str">
        <f>IF($I$11=$A$56,"","Risco")</f>
        <v>Risco</v>
      </c>
      <c r="J20" s="936"/>
      <c r="K20" s="936"/>
      <c r="L20" s="936"/>
      <c r="M20" s="37" t="str">
        <f>IF($I$11=$A$56,"","R")</f>
        <v>R</v>
      </c>
      <c r="N20" s="38">
        <f t="shared" si="1"/>
        <v>0.0139</v>
      </c>
      <c r="O20" s="39" t="s">
        <v>78</v>
      </c>
      <c r="P20" s="40">
        <v>0.01</v>
      </c>
      <c r="Q20" s="40">
        <v>0.0139</v>
      </c>
      <c r="R20" s="40">
        <v>0.0174</v>
      </c>
    </row>
    <row r="21" spans="1:18" ht="30.75" customHeight="1">
      <c r="A21" s="28" t="s">
        <v>79</v>
      </c>
      <c r="B21" s="29" t="s">
        <v>55</v>
      </c>
      <c r="C21" s="28" t="str">
        <f t="shared" si="0"/>
        <v>Construção e Manutenção de Estações e Redes de Distribuição de Energia Elétrica-AC</v>
      </c>
      <c r="E21" s="30">
        <v>0.0529</v>
      </c>
      <c r="F21" s="30">
        <v>0.0592</v>
      </c>
      <c r="G21" s="30">
        <v>0.0793</v>
      </c>
      <c r="I21" s="936" t="str">
        <f>IF($I$11=$A$56,"","Despesas Financeiras")</f>
        <v>Despesas Financeiras</v>
      </c>
      <c r="J21" s="936"/>
      <c r="K21" s="936"/>
      <c r="L21" s="936"/>
      <c r="M21" s="37" t="str">
        <f>IF($I$11=$A$56,"","DF")</f>
        <v>DF</v>
      </c>
      <c r="N21" s="38">
        <f t="shared" si="1"/>
        <v>0.0099</v>
      </c>
      <c r="O21" s="39" t="s">
        <v>78</v>
      </c>
      <c r="P21" s="40">
        <v>0.0094</v>
      </c>
      <c r="Q21" s="40">
        <v>0.0099</v>
      </c>
      <c r="R21" s="40">
        <v>0.0117</v>
      </c>
    </row>
    <row r="22" spans="1:18" ht="30.75" customHeight="1">
      <c r="A22" s="28" t="str">
        <f>A21</f>
        <v>Construção e Manutenção de Estações e Redes de Distribuição de Energia Elétrica</v>
      </c>
      <c r="B22" s="29" t="s">
        <v>56</v>
      </c>
      <c r="C22" s="28" t="str">
        <f t="shared" si="0"/>
        <v>Construção e Manutenção de Estações e Redes de Distribuição de Energia Elétrica-SG</v>
      </c>
      <c r="E22" s="30">
        <v>0.0025</v>
      </c>
      <c r="F22" s="30">
        <v>0.0051</v>
      </c>
      <c r="G22" s="30">
        <v>0.005600000000000001</v>
      </c>
      <c r="I22" s="936" t="str">
        <f>IF($I$11=$A$56,"Margem bruta da empresa de consultoria","Lucro")</f>
        <v>Lucro</v>
      </c>
      <c r="J22" s="936"/>
      <c r="K22" s="936"/>
      <c r="L22" s="936"/>
      <c r="M22" s="37" t="str">
        <f>IF($I$11=$A$56,"K3","L")</f>
        <v>L</v>
      </c>
      <c r="N22" s="38">
        <f t="shared" si="1"/>
        <v>0.0804</v>
      </c>
      <c r="O22" s="39" t="s">
        <v>78</v>
      </c>
      <c r="P22" s="40">
        <v>0.0674</v>
      </c>
      <c r="Q22" s="40">
        <v>0.0804</v>
      </c>
      <c r="R22" s="40">
        <v>0.094</v>
      </c>
    </row>
    <row r="23" spans="1:18" ht="30.75" customHeight="1">
      <c r="A23" s="28" t="str">
        <f>A22</f>
        <v>Construção e Manutenção de Estações e Redes de Distribuição de Energia Elétrica</v>
      </c>
      <c r="B23" s="29" t="s">
        <v>57</v>
      </c>
      <c r="C23" s="28" t="str">
        <f t="shared" si="0"/>
        <v>Construção e Manutenção de Estações e Redes de Distribuição de Energia Elétrica-R</v>
      </c>
      <c r="E23" s="30">
        <v>0.01</v>
      </c>
      <c r="F23" s="30">
        <v>0.0148</v>
      </c>
      <c r="G23" s="30">
        <v>0.0197</v>
      </c>
      <c r="I23" s="940" t="s">
        <v>80</v>
      </c>
      <c r="J23" s="940"/>
      <c r="K23" s="940"/>
      <c r="L23" s="940"/>
      <c r="M23" s="37" t="s">
        <v>81</v>
      </c>
      <c r="N23" s="38">
        <f t="shared" si="1"/>
        <v>0.0365</v>
      </c>
      <c r="O23" s="39" t="s">
        <v>78</v>
      </c>
      <c r="P23" s="40">
        <v>0.0365</v>
      </c>
      <c r="Q23" s="40">
        <v>0.0365</v>
      </c>
      <c r="R23" s="40">
        <v>0.0365</v>
      </c>
    </row>
    <row r="24" spans="1:18" ht="30.75" customHeight="1">
      <c r="A24" s="28" t="str">
        <f>A23</f>
        <v>Construção e Manutenção de Estações e Redes de Distribuição de Energia Elétrica</v>
      </c>
      <c r="B24" s="29" t="s">
        <v>60</v>
      </c>
      <c r="C24" s="28" t="str">
        <f t="shared" si="0"/>
        <v>Construção e Manutenção de Estações e Redes de Distribuição de Energia Elétrica-DF</v>
      </c>
      <c r="E24" s="30">
        <v>0.0101</v>
      </c>
      <c r="F24" s="30">
        <v>0.010700000000000001</v>
      </c>
      <c r="G24" s="30">
        <v>0.0111</v>
      </c>
      <c r="I24" s="936" t="s">
        <v>82</v>
      </c>
      <c r="J24" s="936"/>
      <c r="K24" s="936"/>
      <c r="L24" s="936"/>
      <c r="M24" s="37" t="s">
        <v>48</v>
      </c>
      <c r="N24" s="40">
        <v>0.02</v>
      </c>
      <c r="O24" s="39" t="s">
        <v>78</v>
      </c>
      <c r="P24" s="40">
        <v>0</v>
      </c>
      <c r="Q24" s="40">
        <v>0.025</v>
      </c>
      <c r="R24" s="40">
        <v>0.05</v>
      </c>
    </row>
    <row r="25" spans="1:18" ht="30.75" customHeight="1">
      <c r="A25" s="28" t="str">
        <f>A24</f>
        <v>Construção e Manutenção de Estações e Redes de Distribuição de Energia Elétrica</v>
      </c>
      <c r="B25" s="29" t="s">
        <v>61</v>
      </c>
      <c r="C25" s="28" t="str">
        <f t="shared" si="0"/>
        <v>Construção e Manutenção de Estações e Redes de Distribuição de Energia Elétrica-L</v>
      </c>
      <c r="E25" s="30">
        <v>0.08</v>
      </c>
      <c r="F25" s="30">
        <v>0.08310000000000001</v>
      </c>
      <c r="G25" s="30">
        <v>0.0951</v>
      </c>
      <c r="I25" s="936" t="s">
        <v>83</v>
      </c>
      <c r="J25" s="936"/>
      <c r="K25" s="936"/>
      <c r="L25" s="936"/>
      <c r="M25" s="37" t="s">
        <v>84</v>
      </c>
      <c r="N25" s="40">
        <v>0.045</v>
      </c>
      <c r="O25" s="39" t="str">
        <f>IF(AND(N25&gt;=P25,N25&lt;=R25),"OK","Não OK")</f>
        <v>OK</v>
      </c>
      <c r="P25" s="41">
        <v>0</v>
      </c>
      <c r="Q25" s="41">
        <v>0.045</v>
      </c>
      <c r="R25" s="41">
        <v>0.045</v>
      </c>
    </row>
    <row r="26" spans="1:18" ht="30.75" customHeight="1">
      <c r="A26" s="28" t="str">
        <f>A25</f>
        <v>Construção e Manutenção de Estações e Redes de Distribuição de Energia Elétrica</v>
      </c>
      <c r="B26" s="34" t="s">
        <v>62</v>
      </c>
      <c r="C26" s="28" t="str">
        <f t="shared" si="0"/>
        <v>Construção e Manutenção de Estações e Redes de Distribuição de Energia Elétrica-BDI PAD</v>
      </c>
      <c r="E26" s="30">
        <v>0.24</v>
      </c>
      <c r="F26" s="30">
        <v>0.2584</v>
      </c>
      <c r="G26" s="30">
        <v>0.2786</v>
      </c>
      <c r="I26" s="936" t="s">
        <v>85</v>
      </c>
      <c r="J26" s="936"/>
      <c r="K26" s="936"/>
      <c r="L26" s="936"/>
      <c r="M26" s="42" t="s">
        <v>62</v>
      </c>
      <c r="N26" s="40">
        <f>ROUND((((1+N18+N19+N20)*(1+N21)*(1+N22)/(1-(N23+N24)))-1),4)</f>
        <v>0.2352</v>
      </c>
      <c r="O26" s="39" t="str">
        <f>IF(OR($I$11=$A$56,AND(N26&gt;=P26,N26&lt;=R26)),"OK","NÃO OK")</f>
        <v>OK</v>
      </c>
      <c r="P26" s="40">
        <f>VLOOKUP(CONCATENATE($I$11,"-",$M26),$C$2:$G$47,3,FALSE)</f>
        <v>0.196</v>
      </c>
      <c r="Q26" s="40">
        <f>VLOOKUP(CONCATENATE($I$11,"-",$M26),$C$2:$G$47,4,FALSE)</f>
        <v>0.2097</v>
      </c>
      <c r="R26" s="40">
        <f>VLOOKUP(CONCATENATE($I$11,"-",$M26),$C$2:$G$47,5,FALSE)</f>
        <v>0.24230000000000002</v>
      </c>
    </row>
    <row r="27" spans="1:18" ht="30" customHeight="1">
      <c r="A27" s="28" t="s">
        <v>86</v>
      </c>
      <c r="B27" s="29" t="s">
        <v>55</v>
      </c>
      <c r="C27" s="28" t="str">
        <f t="shared" si="0"/>
        <v>Obras Portuárias, Marítimas e Fluviais-AC</v>
      </c>
      <c r="E27" s="30">
        <v>0.04</v>
      </c>
      <c r="F27" s="30">
        <v>0.0552</v>
      </c>
      <c r="G27" s="30">
        <v>0.0785</v>
      </c>
      <c r="I27" s="937" t="s">
        <v>87</v>
      </c>
      <c r="J27" s="937"/>
      <c r="K27" s="937"/>
      <c r="L27" s="937"/>
      <c r="M27" s="43" t="s">
        <v>88</v>
      </c>
      <c r="N27" s="44">
        <f>ROUND((((1+N18+N19+N20)*(1+N21)*(1+N22)/(1-(N23+N24+N25)))-1),4)</f>
        <v>0.2971</v>
      </c>
      <c r="O27" s="45" t="str">
        <f>IF(Q11&lt;&gt;"Sim","",IF(COUNTIF($O$18:$O$26,"NÃO OK")&gt;0,"NÃO OK","OK"))</f>
        <v>OK</v>
      </c>
      <c r="P27" s="938"/>
      <c r="Q27" s="938"/>
      <c r="R27" s="938"/>
    </row>
    <row r="28" spans="1:7" ht="12.75">
      <c r="A28" s="28" t="str">
        <f>A27</f>
        <v>Obras Portuárias, Marítimas e Fluviais</v>
      </c>
      <c r="B28" s="29" t="s">
        <v>56</v>
      </c>
      <c r="C28" s="28" t="str">
        <f t="shared" si="0"/>
        <v>Obras Portuárias, Marítimas e Fluviais-SG</v>
      </c>
      <c r="E28" s="30">
        <v>0.008100000000000001</v>
      </c>
      <c r="F28" s="30">
        <v>0.012199999999999999</v>
      </c>
      <c r="G28" s="30">
        <v>0.0199</v>
      </c>
    </row>
    <row r="29" spans="1:18" ht="27.75" customHeight="1">
      <c r="A29" s="28" t="str">
        <f>A28</f>
        <v>Obras Portuárias, Marítimas e Fluviais</v>
      </c>
      <c r="B29" s="29" t="s">
        <v>57</v>
      </c>
      <c r="C29" s="28" t="str">
        <f t="shared" si="0"/>
        <v>Obras Portuárias, Marítimas e Fluviais-R</v>
      </c>
      <c r="E29" s="30">
        <v>0.0146</v>
      </c>
      <c r="F29" s="30">
        <v>0.0232</v>
      </c>
      <c r="G29" s="30">
        <v>0.0316</v>
      </c>
      <c r="I29" s="939" t="s">
        <v>89</v>
      </c>
      <c r="J29" s="939"/>
      <c r="K29" s="939"/>
      <c r="L29" s="939"/>
      <c r="M29" s="939"/>
      <c r="N29" s="939"/>
      <c r="O29" s="939"/>
      <c r="P29" s="939"/>
      <c r="Q29" s="939"/>
      <c r="R29" s="939"/>
    </row>
    <row r="30" spans="2:18" ht="27.75" customHeight="1">
      <c r="B30" s="29"/>
      <c r="E30" s="30"/>
      <c r="F30" s="30"/>
      <c r="G30" s="30"/>
      <c r="I30" s="46"/>
      <c r="J30" s="46"/>
      <c r="K30" s="46"/>
      <c r="L30" s="928" t="str">
        <f>IF(Q11="Sim","BDI.DES =","BDI.PAD =")</f>
        <v>BDI.DES =</v>
      </c>
      <c r="M30" s="935" t="str">
        <f>IF($I$11=$A$56,"(1+K1+K2)*(1+K3)","(1+AC + S + R + G)*(1 + DF)*(1+L)")</f>
        <v>(1+AC + S + R + G)*(1 + DF)*(1+L)</v>
      </c>
      <c r="N30" s="935"/>
      <c r="O30" s="935"/>
      <c r="P30" s="935"/>
      <c r="Q30" s="935"/>
      <c r="R30" s="929" t="s">
        <v>90</v>
      </c>
    </row>
    <row r="31" spans="2:18" ht="27.75" customHeight="1">
      <c r="B31" s="29"/>
      <c r="E31" s="30"/>
      <c r="F31" s="30"/>
      <c r="G31" s="30"/>
      <c r="I31" s="46"/>
      <c r="J31" s="46"/>
      <c r="K31" s="46"/>
      <c r="L31" s="928"/>
      <c r="M31" s="934" t="str">
        <f>IF(Q11="Sim","(1-CP-ISS-CRPB)","(1-CP-ISS)")</f>
        <v>(1-CP-ISS-CRPB)</v>
      </c>
      <c r="N31" s="934"/>
      <c r="O31" s="934"/>
      <c r="P31" s="934"/>
      <c r="Q31" s="934"/>
      <c r="R31" s="930"/>
    </row>
    <row r="32" spans="1:18" ht="19.5" customHeight="1">
      <c r="A32" s="28" t="str">
        <f>A29</f>
        <v>Obras Portuárias, Marítimas e Fluviais</v>
      </c>
      <c r="B32" s="29" t="s">
        <v>60</v>
      </c>
      <c r="C32" s="28" t="str">
        <f t="shared" si="0"/>
        <v>Obras Portuárias, Marítimas e Fluviais-DF</v>
      </c>
      <c r="E32" s="30">
        <v>0.009399999999999999</v>
      </c>
      <c r="F32" s="30">
        <v>0.0102</v>
      </c>
      <c r="G32" s="30">
        <v>0.013300000000000001</v>
      </c>
      <c r="I32" s="47"/>
      <c r="J32" s="47"/>
      <c r="K32" s="47"/>
      <c r="L32" s="47"/>
      <c r="M32" s="47"/>
      <c r="N32" s="47"/>
      <c r="O32" s="47"/>
      <c r="P32" s="47"/>
      <c r="Q32" s="47"/>
      <c r="R32" s="47"/>
    </row>
    <row r="33" spans="1:19" ht="49.5" customHeight="1">
      <c r="A33" s="28" t="str">
        <f>A32</f>
        <v>Obras Portuárias, Marítimas e Fluviais</v>
      </c>
      <c r="B33" s="29" t="s">
        <v>61</v>
      </c>
      <c r="C33" s="28" t="str">
        <f t="shared" si="0"/>
        <v>Obras Portuárias, Marítimas e Fluviais-L</v>
      </c>
      <c r="E33" s="30">
        <v>0.07139999999999999</v>
      </c>
      <c r="F33" s="30">
        <v>0.084</v>
      </c>
      <c r="G33" s="30">
        <v>0.1043</v>
      </c>
      <c r="I33" s="932" t="str">
        <f>CONCATENATE("Declaro para os devidos fins que, conforme legislação tributária municipal, a base de cálculo para ",I11,", é de ",Q13*100,"%, com a respectiva alíquota de ",Q14*100,"%.")</f>
        <v>Declaro para os devidos fins que, conforme legislação tributária municipal, a base de cálculo para Construção de Praças Urbanas, Rodovias, Ferrovias e recapeamento e pavimentação de vias urbanas, é de 40%, com a respectiva alíquota de 2%.</v>
      </c>
      <c r="J33" s="933"/>
      <c r="K33" s="933"/>
      <c r="L33" s="933"/>
      <c r="M33" s="933"/>
      <c r="N33" s="933"/>
      <c r="O33" s="933"/>
      <c r="P33" s="933"/>
      <c r="Q33" s="933"/>
      <c r="R33" s="933"/>
      <c r="S33" s="933"/>
    </row>
    <row r="34" spans="1:7" ht="22.5" customHeight="1">
      <c r="A34" s="28" t="str">
        <f>A33</f>
        <v>Obras Portuárias, Marítimas e Fluviais</v>
      </c>
      <c r="B34" s="34" t="s">
        <v>62</v>
      </c>
      <c r="C34" s="28" t="str">
        <f t="shared" si="0"/>
        <v>Obras Portuárias, Marítimas e Fluviais-BDI PAD</v>
      </c>
      <c r="E34" s="30">
        <v>0.228</v>
      </c>
      <c r="F34" s="30">
        <v>0.2748</v>
      </c>
      <c r="G34" s="30">
        <v>0.3095</v>
      </c>
    </row>
    <row r="35" spans="2:7" ht="12.75">
      <c r="B35" s="34"/>
      <c r="E35" s="30"/>
      <c r="F35" s="30"/>
      <c r="G35" s="30"/>
    </row>
    <row r="36" spans="1:16" ht="12.75">
      <c r="A36" s="28" t="s">
        <v>91</v>
      </c>
      <c r="B36" s="29" t="s">
        <v>55</v>
      </c>
      <c r="C36" s="28" t="str">
        <f t="shared" si="0"/>
        <v>Fornecimento de Materiais e Equipamentos-AC</v>
      </c>
      <c r="E36" s="30">
        <v>0.015</v>
      </c>
      <c r="F36" s="30">
        <v>0.0345</v>
      </c>
      <c r="G36" s="30">
        <v>0.0449</v>
      </c>
      <c r="I36" s="931" t="s">
        <v>92</v>
      </c>
      <c r="J36" s="931"/>
      <c r="K36" s="931"/>
      <c r="L36" s="931"/>
      <c r="P36" s="48"/>
    </row>
    <row r="37" spans="1:18" ht="12.75">
      <c r="A37" s="28" t="str">
        <f>A36</f>
        <v>Fornecimento de Materiais e Equipamentos</v>
      </c>
      <c r="B37" s="29" t="s">
        <v>56</v>
      </c>
      <c r="C37" s="28" t="str">
        <f t="shared" si="0"/>
        <v>Fornecimento de Materiais e Equipamentos-SG</v>
      </c>
      <c r="E37" s="30">
        <v>0.003</v>
      </c>
      <c r="F37" s="30">
        <v>0.0048</v>
      </c>
      <c r="G37" s="30">
        <v>0.008199999999999999</v>
      </c>
      <c r="I37" s="924" t="s">
        <v>414</v>
      </c>
      <c r="J37" s="924"/>
      <c r="K37" s="924"/>
      <c r="L37" s="924"/>
      <c r="N37" s="49"/>
      <c r="P37" s="925"/>
      <c r="Q37" s="925"/>
      <c r="R37" s="925"/>
    </row>
    <row r="38" spans="1:7" ht="12.75">
      <c r="A38" s="28" t="str">
        <f>A37</f>
        <v>Fornecimento de Materiais e Equipamentos</v>
      </c>
      <c r="B38" s="29" t="s">
        <v>57</v>
      </c>
      <c r="C38" s="28" t="str">
        <f t="shared" si="0"/>
        <v>Fornecimento de Materiais e Equipamentos-R</v>
      </c>
      <c r="E38" s="30">
        <v>0.005600000000000001</v>
      </c>
      <c r="F38" s="30">
        <v>0.0085</v>
      </c>
      <c r="G38" s="30">
        <v>0.0089</v>
      </c>
    </row>
    <row r="39" spans="1:20" ht="31.5" customHeight="1">
      <c r="A39" s="28" t="str">
        <f>A38</f>
        <v>Fornecimento de Materiais e Equipamentos</v>
      </c>
      <c r="B39" s="29" t="s">
        <v>60</v>
      </c>
      <c r="C39" s="28" t="str">
        <f t="shared" si="0"/>
        <v>Fornecimento de Materiais e Equipamentos-DF</v>
      </c>
      <c r="E39" s="30">
        <v>0.0085</v>
      </c>
      <c r="F39" s="30">
        <v>0.0085</v>
      </c>
      <c r="G39" s="30">
        <v>0.0111</v>
      </c>
      <c r="I39" s="921"/>
      <c r="J39" s="921"/>
      <c r="K39" s="921"/>
      <c r="L39" s="921"/>
      <c r="M39" s="921"/>
      <c r="N39" s="921"/>
      <c r="O39" s="921"/>
      <c r="P39" s="921"/>
      <c r="Q39" s="921"/>
      <c r="R39" s="921"/>
      <c r="S39" s="51"/>
      <c r="T39" s="51"/>
    </row>
    <row r="40" spans="1:20" ht="12.75">
      <c r="A40" s="28" t="str">
        <f>A39</f>
        <v>Fornecimento de Materiais e Equipamentos</v>
      </c>
      <c r="B40" s="29" t="s">
        <v>61</v>
      </c>
      <c r="C40" s="28" t="str">
        <f t="shared" si="0"/>
        <v>Fornecimento de Materiais e Equipamentos-L</v>
      </c>
      <c r="E40" s="30">
        <v>0.035</v>
      </c>
      <c r="F40" s="30">
        <v>0.051100000000000007</v>
      </c>
      <c r="G40" s="30">
        <v>0.0622</v>
      </c>
      <c r="I40" s="926"/>
      <c r="J40" s="926"/>
      <c r="K40" s="926"/>
      <c r="L40" s="926"/>
      <c r="M40" s="51"/>
      <c r="N40" s="51"/>
      <c r="O40" s="927"/>
      <c r="P40" s="927"/>
      <c r="Q40" s="927"/>
      <c r="R40" s="927"/>
      <c r="S40" s="51"/>
      <c r="T40" s="51"/>
    </row>
    <row r="41" spans="1:20" ht="15" customHeight="1">
      <c r="A41" s="28" t="str">
        <f>A40</f>
        <v>Fornecimento de Materiais e Equipamentos</v>
      </c>
      <c r="B41" s="34" t="s">
        <v>62</v>
      </c>
      <c r="C41" s="28" t="str">
        <f t="shared" si="0"/>
        <v>Fornecimento de Materiais e Equipamentos-BDI PAD</v>
      </c>
      <c r="E41" s="30">
        <v>0.111</v>
      </c>
      <c r="F41" s="30">
        <v>0.1402</v>
      </c>
      <c r="G41" s="30">
        <v>0.168</v>
      </c>
      <c r="I41" s="31"/>
      <c r="J41" s="72"/>
      <c r="K41" s="72"/>
      <c r="L41" s="72"/>
      <c r="M41" s="52"/>
      <c r="N41" s="52"/>
      <c r="O41" s="31"/>
      <c r="P41" s="922"/>
      <c r="Q41" s="922"/>
      <c r="R41" s="922"/>
      <c r="S41" s="51"/>
      <c r="T41" s="51"/>
    </row>
    <row r="42" spans="1:20" ht="14.25">
      <c r="A42" s="28" t="s">
        <v>96</v>
      </c>
      <c r="B42" s="29" t="s">
        <v>97</v>
      </c>
      <c r="C42" s="28" t="str">
        <f t="shared" si="0"/>
        <v>Estudos e Projetos, Planos e Gerenciamento e outros correlatos-K1</v>
      </c>
      <c r="E42" s="30" t="s">
        <v>78</v>
      </c>
      <c r="F42" s="30" t="s">
        <v>78</v>
      </c>
      <c r="G42" s="30" t="s">
        <v>78</v>
      </c>
      <c r="I42" s="31"/>
      <c r="J42" s="923"/>
      <c r="K42" s="923"/>
      <c r="L42" s="923"/>
      <c r="M42" s="52"/>
      <c r="N42" s="52"/>
      <c r="O42" s="31"/>
      <c r="P42" s="922"/>
      <c r="Q42" s="922"/>
      <c r="R42" s="922"/>
      <c r="S42" s="51"/>
      <c r="T42" s="51"/>
    </row>
    <row r="43" spans="1:20" ht="14.25">
      <c r="A43" s="28" t="str">
        <f>A42</f>
        <v>Estudos e Projetos, Planos e Gerenciamento e outros correlatos</v>
      </c>
      <c r="B43" s="29" t="s">
        <v>99</v>
      </c>
      <c r="C43" s="28" t="str">
        <f t="shared" si="0"/>
        <v>Estudos e Projetos, Planos e Gerenciamento e outros correlatos-K2</v>
      </c>
      <c r="E43" s="30" t="s">
        <v>78</v>
      </c>
      <c r="F43" s="30">
        <v>0.2</v>
      </c>
      <c r="G43" s="30" t="s">
        <v>78</v>
      </c>
      <c r="I43" s="31"/>
      <c r="J43" s="923"/>
      <c r="K43" s="923"/>
      <c r="L43" s="923"/>
      <c r="M43" s="52"/>
      <c r="N43" s="52"/>
      <c r="O43" s="50"/>
      <c r="P43" s="50"/>
      <c r="Q43" s="50"/>
      <c r="R43" s="50"/>
      <c r="S43" s="51"/>
      <c r="T43" s="51"/>
    </row>
    <row r="44" spans="1:20" ht="12.75">
      <c r="A44" s="28" t="str">
        <f>A43</f>
        <v>Estudos e Projetos, Planos e Gerenciamento e outros correlatos</v>
      </c>
      <c r="B44" s="29" t="s">
        <v>100</v>
      </c>
      <c r="C44" s="28" t="str">
        <f t="shared" si="0"/>
        <v>Estudos e Projetos, Planos e Gerenciamento e outros correlatos-</v>
      </c>
      <c r="E44" s="30" t="s">
        <v>78</v>
      </c>
      <c r="F44" s="30" t="s">
        <v>78</v>
      </c>
      <c r="G44" s="30" t="s">
        <v>78</v>
      </c>
      <c r="O44" s="51"/>
      <c r="P44" s="51"/>
      <c r="Q44" s="51"/>
      <c r="R44" s="51"/>
      <c r="S44" s="51"/>
      <c r="T44" s="51"/>
    </row>
    <row r="45" spans="1:20" ht="12.75" hidden="1">
      <c r="A45" s="28" t="str">
        <f>A44</f>
        <v>Estudos e Projetos, Planos e Gerenciamento e outros correlatos</v>
      </c>
      <c r="B45" s="29" t="s">
        <v>100</v>
      </c>
      <c r="C45" s="28" t="str">
        <f t="shared" si="0"/>
        <v>Estudos e Projetos, Planos e Gerenciamento e outros correlatos-</v>
      </c>
      <c r="E45" s="30" t="s">
        <v>78</v>
      </c>
      <c r="F45" s="30" t="s">
        <v>78</v>
      </c>
      <c r="G45" s="30" t="s">
        <v>78</v>
      </c>
      <c r="O45" s="51"/>
      <c r="P45" s="51"/>
      <c r="Q45" s="51"/>
      <c r="R45" s="51"/>
      <c r="S45" s="51"/>
      <c r="T45" s="51"/>
    </row>
    <row r="46" spans="1:20" ht="12.75" hidden="1">
      <c r="A46" s="28" t="str">
        <f>A45</f>
        <v>Estudos e Projetos, Planos e Gerenciamento e outros correlatos</v>
      </c>
      <c r="B46" s="29" t="s">
        <v>101</v>
      </c>
      <c r="C46" s="28" t="str">
        <f t="shared" si="0"/>
        <v>Estudos e Projetos, Planos e Gerenciamento e outros correlatos-K3</v>
      </c>
      <c r="E46" s="30" t="s">
        <v>78</v>
      </c>
      <c r="F46" s="30">
        <v>0.12</v>
      </c>
      <c r="G46" s="30" t="s">
        <v>78</v>
      </c>
      <c r="O46" s="51"/>
      <c r="P46" s="51"/>
      <c r="Q46" s="51"/>
      <c r="R46" s="51"/>
      <c r="S46" s="51"/>
      <c r="T46" s="51"/>
    </row>
    <row r="47" spans="1:20" ht="12.75" hidden="1">
      <c r="A47" s="28" t="str">
        <f>A46</f>
        <v>Estudos e Projetos, Planos e Gerenciamento e outros correlatos</v>
      </c>
      <c r="B47" s="34" t="s">
        <v>62</v>
      </c>
      <c r="C47" s="28" t="str">
        <f t="shared" si="0"/>
        <v>Estudos e Projetos, Planos e Gerenciamento e outros correlatos-BDI PAD</v>
      </c>
      <c r="E47" s="30" t="s">
        <v>78</v>
      </c>
      <c r="F47" s="30" t="s">
        <v>78</v>
      </c>
      <c r="G47" s="30" t="s">
        <v>78</v>
      </c>
      <c r="O47" s="51"/>
      <c r="P47" s="51"/>
      <c r="Q47" s="51"/>
      <c r="R47" s="51"/>
      <c r="S47" s="51"/>
      <c r="T47" s="51"/>
    </row>
    <row r="48" spans="15:20" ht="12.75" hidden="1">
      <c r="O48" s="51"/>
      <c r="P48" s="51"/>
      <c r="Q48" s="51"/>
      <c r="R48" s="51"/>
      <c r="S48" s="51"/>
      <c r="T48" s="51"/>
    </row>
    <row r="49" spans="15:20" ht="12.75" hidden="1">
      <c r="O49" s="51"/>
      <c r="P49" s="51"/>
      <c r="Q49" s="51"/>
      <c r="R49" s="51"/>
      <c r="S49" s="51"/>
      <c r="T49" s="51"/>
    </row>
    <row r="50" spans="1:20" ht="12.75" hidden="1">
      <c r="A50" s="28" t="s">
        <v>54</v>
      </c>
      <c r="O50" s="51"/>
      <c r="P50" s="51"/>
      <c r="Q50" s="51"/>
      <c r="R50" s="51"/>
      <c r="S50" s="51"/>
      <c r="T50" s="51"/>
    </row>
    <row r="51" spans="1:20" ht="12.75" hidden="1">
      <c r="A51" s="28" t="s">
        <v>64</v>
      </c>
      <c r="O51" s="51"/>
      <c r="P51" s="51"/>
      <c r="Q51" s="51"/>
      <c r="R51" s="51"/>
      <c r="S51" s="51"/>
      <c r="T51" s="51"/>
    </row>
    <row r="52" spans="1:20" ht="12.75" hidden="1">
      <c r="A52" s="28" t="s">
        <v>68</v>
      </c>
      <c r="O52" s="51"/>
      <c r="P52" s="51"/>
      <c r="Q52" s="51"/>
      <c r="R52" s="51"/>
      <c r="S52" s="51"/>
      <c r="T52" s="51"/>
    </row>
    <row r="53" spans="1:20" ht="12.75" hidden="1">
      <c r="A53" s="28" t="s">
        <v>79</v>
      </c>
      <c r="O53" s="51"/>
      <c r="P53" s="51"/>
      <c r="Q53" s="51"/>
      <c r="R53" s="51"/>
      <c r="S53" s="51"/>
      <c r="T53" s="51"/>
    </row>
    <row r="54" spans="1:20" ht="12.75" hidden="1">
      <c r="A54" s="28" t="s">
        <v>86</v>
      </c>
      <c r="O54" s="51"/>
      <c r="P54" s="51"/>
      <c r="Q54" s="51"/>
      <c r="R54" s="51"/>
      <c r="S54" s="51"/>
      <c r="T54" s="51"/>
    </row>
    <row r="55" spans="1:20" ht="12.75" hidden="1">
      <c r="A55" s="28" t="s">
        <v>91</v>
      </c>
      <c r="O55" s="51"/>
      <c r="P55" s="51"/>
      <c r="Q55" s="51"/>
      <c r="R55" s="51"/>
      <c r="S55" s="51"/>
      <c r="T55" s="51"/>
    </row>
    <row r="56" spans="1:20" ht="12.75" hidden="1">
      <c r="A56" s="28" t="s">
        <v>96</v>
      </c>
      <c r="O56" s="51"/>
      <c r="P56" s="51"/>
      <c r="Q56" s="51"/>
      <c r="R56" s="51"/>
      <c r="S56" s="51"/>
      <c r="T56" s="51"/>
    </row>
    <row r="57" spans="1:20" ht="14.25" hidden="1">
      <c r="A57" s="53"/>
      <c r="B57" s="52"/>
      <c r="C57" s="52"/>
      <c r="D57" s="52"/>
      <c r="E57" s="52"/>
      <c r="F57" s="52"/>
      <c r="G57" s="52"/>
      <c r="O57" s="51"/>
      <c r="P57" s="51"/>
      <c r="Q57" s="51"/>
      <c r="R57" s="51"/>
      <c r="S57" s="51"/>
      <c r="T57" s="51"/>
    </row>
    <row r="58" spans="15:20" ht="12.75" customHeight="1">
      <c r="O58" s="51"/>
      <c r="P58" s="51"/>
      <c r="Q58" s="51"/>
      <c r="R58" s="51"/>
      <c r="S58" s="51"/>
      <c r="T58" s="51"/>
    </row>
    <row r="59" spans="15:20" ht="12.75" customHeight="1">
      <c r="O59" s="51"/>
      <c r="P59" s="51"/>
      <c r="Q59" s="51"/>
      <c r="R59" s="51"/>
      <c r="S59" s="51"/>
      <c r="T59" s="51"/>
    </row>
  </sheetData>
  <sheetProtection/>
  <protectedRanges>
    <protectedRange sqref="I5 K5 Q13:R14 I37 J41:L43 P37 P41:R42 I8 Q11 N18:N23" name="Intervalo1"/>
  </protectedRanges>
  <mergeCells count="48">
    <mergeCell ref="Q1:R1"/>
    <mergeCell ref="I4:J4"/>
    <mergeCell ref="K4:R4"/>
    <mergeCell ref="I5:J5"/>
    <mergeCell ref="K5:R5"/>
    <mergeCell ref="I2:R2"/>
    <mergeCell ref="I7:R7"/>
    <mergeCell ref="I8:R8"/>
    <mergeCell ref="I10:P10"/>
    <mergeCell ref="Q10:R10"/>
    <mergeCell ref="I11:P11"/>
    <mergeCell ref="Q11:R11"/>
    <mergeCell ref="I13:P13"/>
    <mergeCell ref="Q13:R13"/>
    <mergeCell ref="I14:P14"/>
    <mergeCell ref="Q14:R14"/>
    <mergeCell ref="I16:L17"/>
    <mergeCell ref="M16:M17"/>
    <mergeCell ref="N16:N17"/>
    <mergeCell ref="O16:O17"/>
    <mergeCell ref="P16:R16"/>
    <mergeCell ref="I18:L18"/>
    <mergeCell ref="I19:L19"/>
    <mergeCell ref="I20:L20"/>
    <mergeCell ref="I21:L21"/>
    <mergeCell ref="I22:L22"/>
    <mergeCell ref="I23:L23"/>
    <mergeCell ref="I24:L24"/>
    <mergeCell ref="I25:L25"/>
    <mergeCell ref="I26:L26"/>
    <mergeCell ref="I27:L27"/>
    <mergeCell ref="P27:R27"/>
    <mergeCell ref="I29:R29"/>
    <mergeCell ref="L30:L31"/>
    <mergeCell ref="R30:R31"/>
    <mergeCell ref="I36:L36"/>
    <mergeCell ref="I33:S33"/>
    <mergeCell ref="M31:Q31"/>
    <mergeCell ref="M30:Q30"/>
    <mergeCell ref="I39:R39"/>
    <mergeCell ref="P41:R41"/>
    <mergeCell ref="J42:L42"/>
    <mergeCell ref="P42:R42"/>
    <mergeCell ref="J43:L43"/>
    <mergeCell ref="I37:L37"/>
    <mergeCell ref="P37:R37"/>
    <mergeCell ref="I40:L40"/>
    <mergeCell ref="O40:R40"/>
  </mergeCells>
  <conditionalFormatting sqref="O18:O27">
    <cfRule type="cellIs" priority="4" dxfId="14" operator="equal" stopIfTrue="1">
      <formula>"NÃO OK"</formula>
    </cfRule>
    <cfRule type="cellIs" priority="5" dxfId="15" operator="equal" stopIfTrue="1">
      <formula>"OK"</formula>
    </cfRule>
  </conditionalFormatting>
  <conditionalFormatting sqref="I26:N26">
    <cfRule type="expression" priority="3" dxfId="5" stopIfTrue="1">
      <formula>$Q$11="Não"</formula>
    </cfRule>
  </conditionalFormatting>
  <conditionalFormatting sqref="I27:N27">
    <cfRule type="expression" priority="2" dxfId="16" stopIfTrue="1">
      <formula>$Q$11="sim"</formula>
    </cfRule>
  </conditionalFormatting>
  <conditionalFormatting sqref="I14:P14">
    <cfRule type="expression" priority="6" dxfId="2" stopIfTrue="1">
      <formula>$I$11=$A$55</formula>
    </cfRule>
  </conditionalFormatting>
  <conditionalFormatting sqref="I13:P13 I33">
    <cfRule type="expression" priority="7" dxfId="1" stopIfTrue="1">
      <formula>$I$11=$A$55</formula>
    </cfRule>
  </conditionalFormatting>
  <dataValidations count="7">
    <dataValidation type="list" allowBlank="1" showInputMessage="1" showErrorMessage="1" sqref="Q11:R11">
      <formula1>"Sim,Não"</formula1>
    </dataValidation>
    <dataValidation type="list" allowBlank="1" showInputMessage="1" showErrorMessage="1" sqref="I11:P11">
      <formula1>$A$50:$A$56</formula1>
    </dataValidation>
    <dataValidation operator="greaterThanOrEqual" allowBlank="1" showInputMessage="1" showErrorMessage="1" errorTitle="Erro de valores" error="Digite um valor igual a 0% ou 2%." sqref="N25"/>
    <dataValidation type="decimal" allowBlank="1" showInputMessage="1" showErrorMessage="1" errorTitle="Erro de valores" error="Digite um valor maior do que 0." sqref="N24">
      <formula1>0</formula1>
      <formula2>1</formula2>
    </dataValidation>
    <dataValidation type="decimal" allowBlank="1" showInputMessage="1" showErrorMessage="1" promptTitle="Valores admissíveis:" prompt="Insira valores entre 0 e 100%." errorTitle="Valor não permitido" error="Digite um percentual entre 0% e 100%." sqref="Q13:R13">
      <formula1>0</formula1>
      <formula2>1</formula2>
    </dataValidation>
    <dataValidation type="decimal" operator="greaterThanOrEqual" allowBlank="1" showInputMessage="1" showErrorMessage="1" promptTitle="Valores comuns:" prompt="Normalmente entre 2 e 5%." errorTitle="Valor não permitido" error="Digite um percentual entre 0% e 100%." sqref="Q14:R14">
      <formula1>0</formula1>
    </dataValidation>
    <dataValidation type="decimal" allowBlank="1" showInputMessage="1" showErrorMessage="1" errorTitle="Erro de valores" error="Digite um valor entre 0% e 100%" sqref="N18:N23">
      <formula1>0</formula1>
      <formula2>1</formula2>
    </dataValidation>
  </dataValidations>
  <printOptions/>
  <pageMargins left="0.984251968503937" right="0.5118110236220472" top="0.7874015748031497" bottom="0.7874015748031497" header="0.31496062992125984" footer="0.31496062992125984"/>
  <pageSetup fitToHeight="1" fitToWidth="1" horizontalDpi="600" verticalDpi="600" orientation="portrait" paperSize="9" scale="85" r:id="rId4"/>
  <headerFooter>
    <oddFooter>&amp;CJônatas Kachorroski
Engenheiro Civil 
Crea-MS 64432/D</oddFooter>
  </headerFooter>
  <drawing r:id="rId3"/>
  <legacyDrawing r:id="rId2"/>
  <oleObjects>
    <oleObject progId="" shapeId="298115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L1"/>
    </sheetView>
  </sheetViews>
  <sheetFormatPr defaultColWidth="9.140625" defaultRowHeight="12.75"/>
  <cols>
    <col min="2" max="3" width="9.140625" style="0" customWidth="1"/>
    <col min="5" max="5" width="9.140625" style="0" customWidth="1"/>
  </cols>
  <sheetData>
    <row r="1" ht="45.75" customHeight="1"/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view="pageBreakPreview" zoomScale="60" zoomScalePageLayoutView="0" workbookViewId="0" topLeftCell="A1">
      <selection activeCell="E9" sqref="E9"/>
    </sheetView>
  </sheetViews>
  <sheetFormatPr defaultColWidth="9.140625" defaultRowHeight="12.75"/>
  <cols>
    <col min="1" max="1" width="30.421875" style="0" customWidth="1"/>
    <col min="2" max="2" width="35.00390625" style="0" customWidth="1"/>
    <col min="3" max="3" width="14.28125" style="0" customWidth="1"/>
    <col min="4" max="4" width="17.57421875" style="0" customWidth="1"/>
    <col min="5" max="5" width="25.28125" style="0" customWidth="1"/>
    <col min="6" max="6" width="26.140625" style="0" customWidth="1"/>
    <col min="7" max="7" width="24.8515625" style="0" hidden="1" customWidth="1"/>
  </cols>
  <sheetData>
    <row r="1" spans="1:5" ht="27.75" customHeight="1" thickBot="1">
      <c r="A1" s="968" t="s">
        <v>381</v>
      </c>
      <c r="B1" s="969"/>
      <c r="C1" s="969"/>
      <c r="D1" s="969"/>
      <c r="E1" s="970"/>
    </row>
    <row r="2" spans="1:5" ht="32.25" customHeight="1" thickBot="1">
      <c r="A2" s="614" t="s">
        <v>191</v>
      </c>
      <c r="B2" s="615" t="s">
        <v>373</v>
      </c>
      <c r="C2" s="616" t="s">
        <v>192</v>
      </c>
      <c r="D2" s="615" t="s">
        <v>374</v>
      </c>
      <c r="E2" s="617" t="s">
        <v>375</v>
      </c>
    </row>
    <row r="3" spans="1:7" ht="39" customHeight="1">
      <c r="A3" s="609" t="s">
        <v>382</v>
      </c>
      <c r="B3" s="619"/>
      <c r="C3" s="619">
        <v>213</v>
      </c>
      <c r="D3" s="619">
        <v>11.4</v>
      </c>
      <c r="E3" s="620">
        <f>D3*C3</f>
        <v>2428.2000000000003</v>
      </c>
      <c r="F3">
        <f>C3*D3</f>
        <v>2428.2000000000003</v>
      </c>
      <c r="G3" s="612">
        <f>SUM(C3:C6)</f>
        <v>361</v>
      </c>
    </row>
    <row r="4" spans="1:6" ht="39" customHeight="1">
      <c r="A4" s="621" t="s">
        <v>383</v>
      </c>
      <c r="B4" s="608"/>
      <c r="C4" s="608">
        <v>63</v>
      </c>
      <c r="D4" s="608">
        <v>7.4</v>
      </c>
      <c r="E4" s="610">
        <f>D4*C4</f>
        <v>466.20000000000005</v>
      </c>
      <c r="F4">
        <f>C4*D4</f>
        <v>466.20000000000005</v>
      </c>
    </row>
    <row r="5" spans="1:6" ht="39" customHeight="1">
      <c r="A5" s="621" t="s">
        <v>384</v>
      </c>
      <c r="B5" s="608"/>
      <c r="C5" s="608">
        <v>50</v>
      </c>
      <c r="D5" s="608">
        <v>7.4</v>
      </c>
      <c r="E5" s="610">
        <f>D5*C5</f>
        <v>370</v>
      </c>
      <c r="F5">
        <f>C5*D5</f>
        <v>370</v>
      </c>
    </row>
    <row r="6" spans="1:6" ht="39" customHeight="1" thickBot="1">
      <c r="A6" s="622" t="s">
        <v>385</v>
      </c>
      <c r="B6" s="623"/>
      <c r="C6" s="623">
        <v>35</v>
      </c>
      <c r="D6" s="623">
        <v>7.4</v>
      </c>
      <c r="E6" s="624">
        <f>D6*C6</f>
        <v>259</v>
      </c>
      <c r="F6">
        <f>C6*D6</f>
        <v>259</v>
      </c>
    </row>
    <row r="7" spans="1:5" ht="24.75" customHeight="1" thickBot="1">
      <c r="A7" s="966" t="s">
        <v>376</v>
      </c>
      <c r="B7" s="967"/>
      <c r="C7" s="967"/>
      <c r="D7" s="967"/>
      <c r="E7" s="618">
        <f>SUM(E3:E6)</f>
        <v>3523.4000000000005</v>
      </c>
    </row>
    <row r="9" ht="12.75">
      <c r="F9">
        <f>SUM(F3:F6)</f>
        <v>3523.4000000000005</v>
      </c>
    </row>
  </sheetData>
  <sheetProtection/>
  <mergeCells count="2">
    <mergeCell ref="A7:D7"/>
    <mergeCell ref="A1:E1"/>
  </mergeCells>
  <printOptions/>
  <pageMargins left="0.9055118110236221" right="0.5118110236220472" top="0.7874015748031497" bottom="0.7874015748031497" header="0.31496062992125984" footer="0.31496062992125984"/>
  <pageSetup fitToWidth="0" fitToHeight="1" horizontalDpi="600" verticalDpi="600" orientation="landscape" paperSize="9" r:id="rId1"/>
  <headerFooter>
    <oddFooter>&amp;CJÔNATAS KACHOROSKI
Engenheiro Civil - CREA/MS 64432/D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57"/>
  <sheetViews>
    <sheetView zoomScalePageLayoutView="0" workbookViewId="0" topLeftCell="I1">
      <selection activeCell="P27" sqref="P27:R27"/>
    </sheetView>
  </sheetViews>
  <sheetFormatPr defaultColWidth="0" defaultRowHeight="12.75" customHeight="1" zeroHeight="1"/>
  <cols>
    <col min="1" max="1" width="30.28125" style="28" hidden="1" customWidth="1"/>
    <col min="2" max="3" width="9.140625" style="28" hidden="1" customWidth="1"/>
    <col min="4" max="4" width="23.57421875" style="28" hidden="1" customWidth="1"/>
    <col min="5" max="8" width="9.140625" style="28" hidden="1" customWidth="1"/>
    <col min="9" max="18" width="10.7109375" style="28" customWidth="1"/>
    <col min="19" max="19" width="4.421875" style="28" customWidth="1"/>
    <col min="20" max="21" width="9.140625" style="28" customWidth="1"/>
    <col min="22" max="16384" width="0" style="28" hidden="1" customWidth="1"/>
  </cols>
  <sheetData>
    <row r="1" spans="5:18" ht="15" customHeight="1">
      <c r="E1" s="496" t="s">
        <v>51</v>
      </c>
      <c r="F1" s="496" t="s">
        <v>52</v>
      </c>
      <c r="G1" s="496" t="s">
        <v>53</v>
      </c>
      <c r="N1" s="497"/>
      <c r="Q1" s="971" t="s">
        <v>336</v>
      </c>
      <c r="R1" s="972"/>
    </row>
    <row r="2" spans="1:18" ht="15.75">
      <c r="A2" s="28" t="s">
        <v>54</v>
      </c>
      <c r="B2" s="29" t="s">
        <v>55</v>
      </c>
      <c r="C2" s="28" t="str">
        <f aca="true" t="shared" si="0" ref="C2:C47">CONCATENATE(A2,"-",B2)</f>
        <v>Construção e Reforma de Edifícios-AC</v>
      </c>
      <c r="E2" s="30">
        <v>0.03</v>
      </c>
      <c r="F2" s="30">
        <v>0.04</v>
      </c>
      <c r="G2" s="30">
        <v>0.055</v>
      </c>
      <c r="N2" s="498"/>
      <c r="Q2" s="976" t="s">
        <v>337</v>
      </c>
      <c r="R2" s="977"/>
    </row>
    <row r="3" spans="1:7" ht="12.75">
      <c r="A3" s="28" t="str">
        <f>A2</f>
        <v>Construção e Reforma de Edifícios</v>
      </c>
      <c r="B3" s="29" t="s">
        <v>56</v>
      </c>
      <c r="C3" s="28" t="str">
        <f t="shared" si="0"/>
        <v>Construção e Reforma de Edifícios-SG</v>
      </c>
      <c r="E3" s="30">
        <v>0.008</v>
      </c>
      <c r="F3" s="30">
        <v>0.008</v>
      </c>
      <c r="G3" s="30">
        <v>0.01</v>
      </c>
    </row>
    <row r="4" spans="1:18" ht="12.75">
      <c r="A4" s="28" t="str">
        <f>A3</f>
        <v>Construção e Reforma de Edifícios</v>
      </c>
      <c r="B4" s="29" t="s">
        <v>57</v>
      </c>
      <c r="C4" s="28" t="str">
        <f t="shared" si="0"/>
        <v>Construção e Reforma de Edifícios-R</v>
      </c>
      <c r="E4" s="30">
        <v>0.0097</v>
      </c>
      <c r="F4" s="30">
        <v>0.0127</v>
      </c>
      <c r="G4" s="30">
        <v>0.0127</v>
      </c>
      <c r="I4" s="947" t="s">
        <v>58</v>
      </c>
      <c r="J4" s="949"/>
      <c r="K4" s="947" t="s">
        <v>59</v>
      </c>
      <c r="L4" s="948"/>
      <c r="M4" s="948"/>
      <c r="N4" s="948"/>
      <c r="O4" s="948"/>
      <c r="P4" s="948"/>
      <c r="Q4" s="948"/>
      <c r="R4" s="949"/>
    </row>
    <row r="5" spans="1:19" ht="12.75" customHeight="1">
      <c r="A5" s="28" t="str">
        <f>A4</f>
        <v>Construção e Reforma de Edifícios</v>
      </c>
      <c r="B5" s="29" t="s">
        <v>60</v>
      </c>
      <c r="C5" s="28" t="str">
        <f t="shared" si="0"/>
        <v>Construção e Reforma de Edifícios-DF</v>
      </c>
      <c r="E5" s="30">
        <v>0.0059</v>
      </c>
      <c r="F5" s="30">
        <v>0.0123</v>
      </c>
      <c r="G5" s="30">
        <v>0.0139</v>
      </c>
      <c r="I5" s="960"/>
      <c r="J5" s="961"/>
      <c r="K5" s="950"/>
      <c r="L5" s="962"/>
      <c r="M5" s="962"/>
      <c r="N5" s="962"/>
      <c r="O5" s="962"/>
      <c r="P5" s="962"/>
      <c r="Q5" s="962"/>
      <c r="R5" s="963"/>
      <c r="S5" s="32"/>
    </row>
    <row r="6" spans="1:18" ht="6" customHeight="1">
      <c r="A6" s="28" t="str">
        <f>A5</f>
        <v>Construção e Reforma de Edifícios</v>
      </c>
      <c r="B6" s="29" t="s">
        <v>61</v>
      </c>
      <c r="C6" s="28" t="str">
        <f t="shared" si="0"/>
        <v>Construção e Reforma de Edifícios-L</v>
      </c>
      <c r="E6" s="30">
        <v>0.0616</v>
      </c>
      <c r="F6" s="30">
        <v>0.07400000000000001</v>
      </c>
      <c r="G6" s="30">
        <v>0.08960000000000001</v>
      </c>
      <c r="I6" s="33"/>
      <c r="J6" s="33"/>
      <c r="K6" s="33"/>
      <c r="L6" s="33"/>
      <c r="M6" s="33"/>
      <c r="N6" s="33"/>
      <c r="O6" s="33"/>
      <c r="P6" s="33"/>
      <c r="Q6" s="33"/>
      <c r="R6" s="33"/>
    </row>
    <row r="7" spans="1:18" ht="13.5" customHeight="1">
      <c r="A7" s="28" t="str">
        <f>A6</f>
        <v>Construção e Reforma de Edifícios</v>
      </c>
      <c r="B7" s="34" t="s">
        <v>62</v>
      </c>
      <c r="C7" s="28" t="str">
        <f t="shared" si="0"/>
        <v>Construção e Reforma de Edifícios-BDI PAD</v>
      </c>
      <c r="E7" s="30">
        <v>0.2034</v>
      </c>
      <c r="F7" s="30">
        <v>0.2212</v>
      </c>
      <c r="G7" s="30">
        <v>0.25</v>
      </c>
      <c r="I7" s="947" t="s">
        <v>63</v>
      </c>
      <c r="J7" s="948"/>
      <c r="K7" s="948"/>
      <c r="L7" s="948"/>
      <c r="M7" s="948"/>
      <c r="N7" s="948"/>
      <c r="O7" s="948"/>
      <c r="P7" s="948"/>
      <c r="Q7" s="948"/>
      <c r="R7" s="949"/>
    </row>
    <row r="8" spans="1:18" ht="24.75" customHeight="1">
      <c r="A8" s="28" t="s">
        <v>64</v>
      </c>
      <c r="B8" s="29" t="s">
        <v>55</v>
      </c>
      <c r="C8" s="28" t="str">
        <f t="shared" si="0"/>
        <v>Construção de Praças Urbanas, Rodovias, Ferrovias e recapeamento e pavimentação de vias urbanas-AC</v>
      </c>
      <c r="E8" s="30">
        <v>0.038</v>
      </c>
      <c r="F8" s="30">
        <v>0.0401</v>
      </c>
      <c r="G8" s="30">
        <v>0.0467</v>
      </c>
      <c r="I8" s="950"/>
      <c r="J8" s="951"/>
      <c r="K8" s="951"/>
      <c r="L8" s="951"/>
      <c r="M8" s="951"/>
      <c r="N8" s="951"/>
      <c r="O8" s="951"/>
      <c r="P8" s="951"/>
      <c r="Q8" s="951"/>
      <c r="R8" s="952"/>
    </row>
    <row r="9" spans="1:18" ht="6" customHeight="1">
      <c r="A9" s="28" t="s">
        <v>64</v>
      </c>
      <c r="B9" s="29" t="s">
        <v>56</v>
      </c>
      <c r="C9" s="28" t="str">
        <f t="shared" si="0"/>
        <v>Construção de Praças Urbanas, Rodovias, Ferrovias e recapeamento e pavimentação de vias urbanas-SG</v>
      </c>
      <c r="E9" s="30">
        <v>0.0032</v>
      </c>
      <c r="F9" s="30">
        <v>0.004</v>
      </c>
      <c r="G9" s="30">
        <v>0.0074</v>
      </c>
      <c r="I9" s="33"/>
      <c r="J9" s="33"/>
      <c r="K9" s="33"/>
      <c r="L9" s="33"/>
      <c r="M9" s="33"/>
      <c r="N9" s="33"/>
      <c r="O9" s="33"/>
      <c r="P9" s="33"/>
      <c r="Q9" s="33"/>
      <c r="R9" s="33"/>
    </row>
    <row r="10" spans="1:18" ht="12.75">
      <c r="A10" s="28" t="s">
        <v>64</v>
      </c>
      <c r="B10" s="29" t="s">
        <v>57</v>
      </c>
      <c r="C10" s="28" t="str">
        <f t="shared" si="0"/>
        <v>Construção de Praças Urbanas, Rodovias, Ferrovias e recapeamento e pavimentação de vias urbanas-R</v>
      </c>
      <c r="E10" s="30">
        <v>0.005</v>
      </c>
      <c r="F10" s="30">
        <v>0.005600000000000001</v>
      </c>
      <c r="G10" s="30">
        <v>0.0097</v>
      </c>
      <c r="I10" s="947" t="s">
        <v>65</v>
      </c>
      <c r="J10" s="948"/>
      <c r="K10" s="948"/>
      <c r="L10" s="948"/>
      <c r="M10" s="948"/>
      <c r="N10" s="948"/>
      <c r="O10" s="948"/>
      <c r="P10" s="948"/>
      <c r="Q10" s="947" t="s">
        <v>66</v>
      </c>
      <c r="R10" s="949"/>
    </row>
    <row r="11" spans="1:18" ht="12.75">
      <c r="A11" s="28" t="s">
        <v>64</v>
      </c>
      <c r="B11" s="29" t="s">
        <v>60</v>
      </c>
      <c r="C11" s="28" t="str">
        <f t="shared" si="0"/>
        <v>Construção de Praças Urbanas, Rodovias, Ferrovias e recapeamento e pavimentação de vias urbanas-DF</v>
      </c>
      <c r="E11" s="30">
        <v>0.0102</v>
      </c>
      <c r="F11" s="30">
        <v>0.0111</v>
      </c>
      <c r="G11" s="30">
        <v>0.0121</v>
      </c>
      <c r="I11" s="953" t="s">
        <v>91</v>
      </c>
      <c r="J11" s="954"/>
      <c r="K11" s="954"/>
      <c r="L11" s="954"/>
      <c r="M11" s="954"/>
      <c r="N11" s="954"/>
      <c r="O11" s="954"/>
      <c r="P11" s="955"/>
      <c r="Q11" s="956" t="s">
        <v>112</v>
      </c>
      <c r="R11" s="957"/>
    </row>
    <row r="12" spans="1:7" ht="12.75">
      <c r="A12" s="28" t="s">
        <v>64</v>
      </c>
      <c r="B12" s="29" t="s">
        <v>61</v>
      </c>
      <c r="C12" s="28" t="str">
        <f t="shared" si="0"/>
        <v>Construção de Praças Urbanas, Rodovias, Ferrovias e recapeamento e pavimentação de vias urbanas-L</v>
      </c>
      <c r="E12" s="30">
        <v>0.0664</v>
      </c>
      <c r="F12" s="30">
        <v>0.073</v>
      </c>
      <c r="G12" s="30">
        <v>0.08689999999999999</v>
      </c>
    </row>
    <row r="13" spans="1:18" ht="15" customHeight="1">
      <c r="A13" s="28" t="s">
        <v>64</v>
      </c>
      <c r="B13" s="34" t="s">
        <v>62</v>
      </c>
      <c r="C13" s="28" t="str">
        <f t="shared" si="0"/>
        <v>Construção de Praças Urbanas, Rodovias, Ferrovias e recapeamento e pavimentação de vias urbanas-BDI PAD</v>
      </c>
      <c r="E13" s="30">
        <v>0.196</v>
      </c>
      <c r="F13" s="30">
        <v>0.2097</v>
      </c>
      <c r="G13" s="30">
        <v>0.24230000000000002</v>
      </c>
      <c r="I13" s="941" t="s">
        <v>67</v>
      </c>
      <c r="J13" s="941"/>
      <c r="K13" s="941"/>
      <c r="L13" s="941"/>
      <c r="M13" s="941"/>
      <c r="N13" s="941"/>
      <c r="O13" s="941"/>
      <c r="P13" s="941"/>
      <c r="Q13" s="942">
        <v>0.4</v>
      </c>
      <c r="R13" s="942"/>
    </row>
    <row r="14" spans="1:18" ht="15" customHeight="1">
      <c r="A14" s="28" t="s">
        <v>68</v>
      </c>
      <c r="B14" s="29" t="s">
        <v>55</v>
      </c>
      <c r="C14" s="28" t="str">
        <f t="shared" si="0"/>
        <v>Construção de Redes de Abastecimento de Água, Coleta de Esgoto-AC</v>
      </c>
      <c r="E14" s="30">
        <v>0.034300000000000004</v>
      </c>
      <c r="F14" s="30">
        <v>0.0493</v>
      </c>
      <c r="G14" s="30">
        <v>0.06709999999999999</v>
      </c>
      <c r="I14" s="943" t="s">
        <v>69</v>
      </c>
      <c r="J14" s="943"/>
      <c r="K14" s="943"/>
      <c r="L14" s="943"/>
      <c r="M14" s="943"/>
      <c r="N14" s="943"/>
      <c r="O14" s="943"/>
      <c r="P14" s="943"/>
      <c r="Q14" s="942">
        <v>0.05</v>
      </c>
      <c r="R14" s="942"/>
    </row>
    <row r="15" spans="1:7" ht="12.75">
      <c r="A15" s="28" t="str">
        <f>A14</f>
        <v>Construção de Redes de Abastecimento de Água, Coleta de Esgoto</v>
      </c>
      <c r="B15" s="29" t="s">
        <v>56</v>
      </c>
      <c r="C15" s="28" t="str">
        <f t="shared" si="0"/>
        <v>Construção de Redes de Abastecimento de Água, Coleta de Esgoto-SG</v>
      </c>
      <c r="E15" s="30">
        <v>0.0028000000000000004</v>
      </c>
      <c r="F15" s="30">
        <v>0.0049</v>
      </c>
      <c r="G15" s="30">
        <v>0.0075</v>
      </c>
    </row>
    <row r="16" spans="2:18" ht="15">
      <c r="B16" s="29"/>
      <c r="E16" s="30"/>
      <c r="F16" s="30"/>
      <c r="G16" s="30"/>
      <c r="I16" s="944" t="s">
        <v>70</v>
      </c>
      <c r="J16" s="944"/>
      <c r="K16" s="944"/>
      <c r="L16" s="944"/>
      <c r="M16" s="944" t="s">
        <v>71</v>
      </c>
      <c r="N16" s="945" t="s">
        <v>72</v>
      </c>
      <c r="O16" s="945" t="s">
        <v>73</v>
      </c>
      <c r="P16" s="946" t="s">
        <v>74</v>
      </c>
      <c r="Q16" s="946"/>
      <c r="R16" s="946"/>
    </row>
    <row r="17" spans="1:18" ht="15">
      <c r="A17" s="28" t="str">
        <f>A15</f>
        <v>Construção de Redes de Abastecimento de Água, Coleta de Esgoto</v>
      </c>
      <c r="B17" s="29" t="s">
        <v>57</v>
      </c>
      <c r="C17" s="28" t="str">
        <f t="shared" si="0"/>
        <v>Construção de Redes de Abastecimento de Água, Coleta de Esgoto-R</v>
      </c>
      <c r="E17" s="30">
        <v>0.01</v>
      </c>
      <c r="F17" s="30">
        <v>0.0139</v>
      </c>
      <c r="G17" s="30">
        <v>0.0174</v>
      </c>
      <c r="I17" s="944"/>
      <c r="J17" s="944"/>
      <c r="K17" s="944"/>
      <c r="L17" s="944"/>
      <c r="M17" s="944"/>
      <c r="N17" s="945"/>
      <c r="O17" s="945"/>
      <c r="P17" s="35" t="s">
        <v>75</v>
      </c>
      <c r="Q17" s="35" t="s">
        <v>76</v>
      </c>
      <c r="R17" s="36" t="s">
        <v>77</v>
      </c>
    </row>
    <row r="18" spans="1:18" ht="30.75" customHeight="1">
      <c r="A18" s="28" t="str">
        <f>A17</f>
        <v>Construção de Redes de Abastecimento de Água, Coleta de Esgoto</v>
      </c>
      <c r="B18" s="29" t="s">
        <v>60</v>
      </c>
      <c r="C18" s="28" t="str">
        <f t="shared" si="0"/>
        <v>Construção de Redes de Abastecimento de Água, Coleta de Esgoto-DF</v>
      </c>
      <c r="E18" s="30">
        <v>0.009399999999999999</v>
      </c>
      <c r="F18" s="30">
        <v>0.009899999999999999</v>
      </c>
      <c r="G18" s="30">
        <v>0.011699999999999999</v>
      </c>
      <c r="I18" s="936" t="str">
        <f>IF($I$11=$A$56,"Encargos Sociais incidentes sobre a mão de obra","Administração Central")</f>
        <v>Administração Central</v>
      </c>
      <c r="J18" s="936"/>
      <c r="K18" s="936"/>
      <c r="L18" s="936"/>
      <c r="M18" s="37" t="str">
        <f>IF($I$11=$A$56,"K1","AC")</f>
        <v>AC</v>
      </c>
      <c r="N18" s="38">
        <f aca="true" t="shared" si="1" ref="N18:N23">P18</f>
        <v>0.015</v>
      </c>
      <c r="O18" s="39" t="s">
        <v>78</v>
      </c>
      <c r="P18" s="40">
        <f>VLOOKUP(CONCATENATE(I$11,"-",M18),$C$2:$G$47,3,FALSE)</f>
        <v>0.015</v>
      </c>
      <c r="Q18" s="40">
        <f>VLOOKUP(CONCATENATE(I$11,"-",M18),$C$2:$G$47,4,FALSE)</f>
        <v>0.0345</v>
      </c>
      <c r="R18" s="40">
        <f>VLOOKUP(CONCATENATE(I$11,"-",M18),$C$2:$G$47,5,FALSE)</f>
        <v>0.0449</v>
      </c>
    </row>
    <row r="19" spans="1:18" ht="30.75" customHeight="1">
      <c r="A19" s="28" t="str">
        <f>A18</f>
        <v>Construção de Redes de Abastecimento de Água, Coleta de Esgoto</v>
      </c>
      <c r="B19" s="29" t="s">
        <v>61</v>
      </c>
      <c r="C19" s="28" t="str">
        <f t="shared" si="0"/>
        <v>Construção de Redes de Abastecimento de Água, Coleta de Esgoto-L</v>
      </c>
      <c r="E19" s="30">
        <v>0.0674</v>
      </c>
      <c r="F19" s="30">
        <v>0.08039999999999999</v>
      </c>
      <c r="G19" s="30">
        <v>0.094</v>
      </c>
      <c r="I19" s="936" t="str">
        <f>IF($I$11=$A$56,"Administração Central da empresa ou consultoria - overhead","Seguro e Garantia")</f>
        <v>Seguro e Garantia</v>
      </c>
      <c r="J19" s="936"/>
      <c r="K19" s="936"/>
      <c r="L19" s="936"/>
      <c r="M19" s="37" t="str">
        <f>IF($I$11=$A$56,"K2","SG")</f>
        <v>SG</v>
      </c>
      <c r="N19" s="38">
        <f t="shared" si="1"/>
        <v>0.003</v>
      </c>
      <c r="O19" s="39" t="s">
        <v>78</v>
      </c>
      <c r="P19" s="40">
        <f>VLOOKUP(CONCATENATE(I$11,"-",M19),$C$2:$G$47,3,FALSE)</f>
        <v>0.003</v>
      </c>
      <c r="Q19" s="40">
        <f>VLOOKUP(CONCATENATE(I$11,"-",M19),$C$2:$G$47,4,FALSE)</f>
        <v>0.0048</v>
      </c>
      <c r="R19" s="40">
        <f>VLOOKUP(CONCATENATE(I$11,"-",M19),$C$2:$G$47,5,FALSE)</f>
        <v>0.008199999999999999</v>
      </c>
    </row>
    <row r="20" spans="1:18" ht="30.75" customHeight="1">
      <c r="A20" s="28" t="str">
        <f>A19</f>
        <v>Construção de Redes de Abastecimento de Água, Coleta de Esgoto</v>
      </c>
      <c r="B20" s="34" t="s">
        <v>62</v>
      </c>
      <c r="C20" s="28" t="str">
        <f t="shared" si="0"/>
        <v>Construção de Redes de Abastecimento de Água, Coleta de Esgoto-BDI PAD</v>
      </c>
      <c r="E20" s="30">
        <v>0.2076</v>
      </c>
      <c r="F20" s="30">
        <v>0.2418</v>
      </c>
      <c r="G20" s="30">
        <v>0.2644</v>
      </c>
      <c r="I20" s="936" t="str">
        <f>IF($I$11=$A$56,"","Risco")</f>
        <v>Risco</v>
      </c>
      <c r="J20" s="936"/>
      <c r="K20" s="936"/>
      <c r="L20" s="936"/>
      <c r="M20" s="37" t="str">
        <f>IF($I$11=$A$56,"","R")</f>
        <v>R</v>
      </c>
      <c r="N20" s="38">
        <f t="shared" si="1"/>
        <v>0.005600000000000001</v>
      </c>
      <c r="O20" s="39" t="s">
        <v>78</v>
      </c>
      <c r="P20" s="40">
        <f>VLOOKUP(CONCATENATE(I$11,"-",M20),$C$2:$G$47,3,FALSE)</f>
        <v>0.005600000000000001</v>
      </c>
      <c r="Q20" s="40">
        <f>VLOOKUP(CONCATENATE(I$11,"-",M20),$C$2:$G$47,4,FALSE)</f>
        <v>0.0085</v>
      </c>
      <c r="R20" s="40">
        <f>VLOOKUP(CONCATENATE(I$11,"-",M20),$C$2:$G$47,5,FALSE)</f>
        <v>0.0089</v>
      </c>
    </row>
    <row r="21" spans="1:18" ht="30.75" customHeight="1">
      <c r="A21" s="28" t="s">
        <v>79</v>
      </c>
      <c r="B21" s="29" t="s">
        <v>55</v>
      </c>
      <c r="C21" s="28" t="str">
        <f t="shared" si="0"/>
        <v>Construção e Manutenção de Estações e Redes de Distribuição de Energia Elétrica-AC</v>
      </c>
      <c r="E21" s="30">
        <v>0.0529</v>
      </c>
      <c r="F21" s="30">
        <v>0.0592</v>
      </c>
      <c r="G21" s="30">
        <v>0.0793</v>
      </c>
      <c r="I21" s="936" t="str">
        <f>IF($I$11=$A$56,"","Despesas Financeiras")</f>
        <v>Despesas Financeiras</v>
      </c>
      <c r="J21" s="936"/>
      <c r="K21" s="936"/>
      <c r="L21" s="936"/>
      <c r="M21" s="37" t="str">
        <f>IF($I$11=$A$56,"","DF")</f>
        <v>DF</v>
      </c>
      <c r="N21" s="38">
        <f t="shared" si="1"/>
        <v>0.0085</v>
      </c>
      <c r="O21" s="39" t="s">
        <v>78</v>
      </c>
      <c r="P21" s="40">
        <f>VLOOKUP(CONCATENATE(I$11,"-",M21),$C$2:$G$47,3,FALSE)</f>
        <v>0.0085</v>
      </c>
      <c r="Q21" s="40">
        <f>VLOOKUP(CONCATENATE(I$11,"-",M21),$C$2:$G$47,4,FALSE)</f>
        <v>0.0085</v>
      </c>
      <c r="R21" s="40">
        <f>VLOOKUP(CONCATENATE(I$11,"-",M21),$C$2:$G$47,5,FALSE)</f>
        <v>0.0111</v>
      </c>
    </row>
    <row r="22" spans="1:18" ht="30.75" customHeight="1">
      <c r="A22" s="28" t="str">
        <f>A21</f>
        <v>Construção e Manutenção de Estações e Redes de Distribuição de Energia Elétrica</v>
      </c>
      <c r="B22" s="29" t="s">
        <v>56</v>
      </c>
      <c r="C22" s="28" t="str">
        <f t="shared" si="0"/>
        <v>Construção e Manutenção de Estações e Redes de Distribuição de Energia Elétrica-SG</v>
      </c>
      <c r="E22" s="30">
        <v>0.0025</v>
      </c>
      <c r="F22" s="30">
        <v>0.0051</v>
      </c>
      <c r="G22" s="30">
        <v>0.005600000000000001</v>
      </c>
      <c r="I22" s="936" t="str">
        <f>IF($I$11=$A$56,"Margem bruta da empresa de consultoria","Lucro")</f>
        <v>Lucro</v>
      </c>
      <c r="J22" s="936"/>
      <c r="K22" s="936"/>
      <c r="L22" s="936"/>
      <c r="M22" s="37" t="str">
        <f>IF($I$11=$A$56,"K3","L")</f>
        <v>L</v>
      </c>
      <c r="N22" s="38">
        <f t="shared" si="1"/>
        <v>0.035</v>
      </c>
      <c r="O22" s="39" t="s">
        <v>78</v>
      </c>
      <c r="P22" s="40">
        <f>VLOOKUP(CONCATENATE(I$11,"-",M22),$C$2:$G$47,3,FALSE)</f>
        <v>0.035</v>
      </c>
      <c r="Q22" s="40">
        <f>VLOOKUP(CONCATENATE(I$11,"-",M22),$C$2:$G$47,4,FALSE)</f>
        <v>0.051100000000000007</v>
      </c>
      <c r="R22" s="40">
        <f>VLOOKUP(CONCATENATE(I$11,"-",M22),$C$2:$G$47,5,FALSE)</f>
        <v>0.0622</v>
      </c>
    </row>
    <row r="23" spans="1:18" ht="30.75" customHeight="1">
      <c r="A23" s="28" t="str">
        <f>A22</f>
        <v>Construção e Manutenção de Estações e Redes de Distribuição de Energia Elétrica</v>
      </c>
      <c r="B23" s="29" t="s">
        <v>57</v>
      </c>
      <c r="C23" s="28" t="str">
        <f t="shared" si="0"/>
        <v>Construção e Manutenção de Estações e Redes de Distribuição de Energia Elétrica-R</v>
      </c>
      <c r="E23" s="30">
        <v>0.01</v>
      </c>
      <c r="F23" s="30">
        <v>0.0148</v>
      </c>
      <c r="G23" s="30">
        <v>0.0197</v>
      </c>
      <c r="I23" s="940" t="s">
        <v>80</v>
      </c>
      <c r="J23" s="940"/>
      <c r="K23" s="940"/>
      <c r="L23" s="940"/>
      <c r="M23" s="37" t="s">
        <v>81</v>
      </c>
      <c r="N23" s="38">
        <f t="shared" si="1"/>
        <v>0.0365</v>
      </c>
      <c r="O23" s="39" t="s">
        <v>78</v>
      </c>
      <c r="P23" s="40">
        <v>0.0365</v>
      </c>
      <c r="Q23" s="40">
        <v>0.0365</v>
      </c>
      <c r="R23" s="40">
        <v>0.0365</v>
      </c>
    </row>
    <row r="24" spans="1:18" ht="30.75" customHeight="1">
      <c r="A24" s="28" t="str">
        <f>A23</f>
        <v>Construção e Manutenção de Estações e Redes de Distribuição de Energia Elétrica</v>
      </c>
      <c r="B24" s="29" t="s">
        <v>60</v>
      </c>
      <c r="C24" s="28" t="str">
        <f t="shared" si="0"/>
        <v>Construção e Manutenção de Estações e Redes de Distribuição de Energia Elétrica-DF</v>
      </c>
      <c r="E24" s="30">
        <v>0.0101</v>
      </c>
      <c r="F24" s="30">
        <v>0.010700000000000001</v>
      </c>
      <c r="G24" s="30">
        <v>0.0111</v>
      </c>
      <c r="I24" s="936" t="s">
        <v>82</v>
      </c>
      <c r="J24" s="936"/>
      <c r="K24" s="936"/>
      <c r="L24" s="936"/>
      <c r="M24" s="37" t="s">
        <v>48</v>
      </c>
      <c r="N24" s="38">
        <f>Q24</f>
        <v>0.025</v>
      </c>
      <c r="O24" s="39" t="s">
        <v>78</v>
      </c>
      <c r="P24" s="40">
        <v>0</v>
      </c>
      <c r="Q24" s="40">
        <v>0.025</v>
      </c>
      <c r="R24" s="40">
        <v>0.05</v>
      </c>
    </row>
    <row r="25" spans="1:18" ht="30.75" customHeight="1">
      <c r="A25" s="28" t="str">
        <f>A24</f>
        <v>Construção e Manutenção de Estações e Redes de Distribuição de Energia Elétrica</v>
      </c>
      <c r="B25" s="29" t="s">
        <v>61</v>
      </c>
      <c r="C25" s="28" t="str">
        <f t="shared" si="0"/>
        <v>Construção e Manutenção de Estações e Redes de Distribuição de Energia Elétrica-L</v>
      </c>
      <c r="E25" s="30">
        <v>0.08</v>
      </c>
      <c r="F25" s="30">
        <v>0.08310000000000001</v>
      </c>
      <c r="G25" s="30">
        <v>0.0951</v>
      </c>
      <c r="I25" s="936" t="s">
        <v>83</v>
      </c>
      <c r="J25" s="936"/>
      <c r="K25" s="936"/>
      <c r="L25" s="936"/>
      <c r="M25" s="37" t="s">
        <v>84</v>
      </c>
      <c r="N25" s="40">
        <f>IF(Q11="Sim",4.5%,0%)</f>
        <v>0.045</v>
      </c>
      <c r="O25" s="39" t="str">
        <f>IF(AND(N25&gt;=P25,N25&lt;=R25),"OK","Não OK")</f>
        <v>OK</v>
      </c>
      <c r="P25" s="41">
        <v>0</v>
      </c>
      <c r="Q25" s="41">
        <v>0.045</v>
      </c>
      <c r="R25" s="41">
        <v>0.045</v>
      </c>
    </row>
    <row r="26" spans="1:18" ht="30.75" customHeight="1">
      <c r="A26" s="28" t="str">
        <f>A25</f>
        <v>Construção e Manutenção de Estações e Redes de Distribuição de Energia Elétrica</v>
      </c>
      <c r="B26" s="34" t="s">
        <v>62</v>
      </c>
      <c r="C26" s="28" t="str">
        <f t="shared" si="0"/>
        <v>Construção e Manutenção de Estações e Redes de Distribuição de Energia Elétrica-BDI PAD</v>
      </c>
      <c r="E26" s="30">
        <v>0.24</v>
      </c>
      <c r="F26" s="30">
        <v>0.2584</v>
      </c>
      <c r="G26" s="30">
        <v>0.2786</v>
      </c>
      <c r="I26" s="936" t="s">
        <v>85</v>
      </c>
      <c r="J26" s="936"/>
      <c r="K26" s="936"/>
      <c r="L26" s="936"/>
      <c r="M26" s="42" t="s">
        <v>62</v>
      </c>
      <c r="N26" s="40">
        <f>ROUND((((1+N18+N19+N20)*(1+N21)*(1+N22)/(1-(N23+N24)))-1),4)</f>
        <v>0.1384</v>
      </c>
      <c r="O26" s="39" t="str">
        <f>IF(OR($I$11=$A$56,AND(N26&gt;=P26,N26&lt;=R26)),"OK","NÃO OK")</f>
        <v>OK</v>
      </c>
      <c r="P26" s="40">
        <f>VLOOKUP(CONCATENATE($I$11,"-",$M26),$C$2:$G$47,3,FALSE)</f>
        <v>0.111</v>
      </c>
      <c r="Q26" s="40">
        <f>VLOOKUP(CONCATENATE($I$11,"-",$M26),$C$2:$G$47,4,FALSE)</f>
        <v>0.1402</v>
      </c>
      <c r="R26" s="40">
        <f>VLOOKUP(CONCATENATE($I$11,"-",$M26),$C$2:$G$47,5,FALSE)</f>
        <v>0.168</v>
      </c>
    </row>
    <row r="27" spans="1:18" ht="30" customHeight="1">
      <c r="A27" s="28" t="s">
        <v>86</v>
      </c>
      <c r="B27" s="29" t="s">
        <v>55</v>
      </c>
      <c r="C27" s="28" t="str">
        <f t="shared" si="0"/>
        <v>Obras Portuárias, Marítimas e Fluviais-AC</v>
      </c>
      <c r="E27" s="30">
        <v>0.04</v>
      </c>
      <c r="F27" s="30">
        <v>0.0552</v>
      </c>
      <c r="G27" s="30">
        <v>0.0785</v>
      </c>
      <c r="I27" s="937" t="s">
        <v>87</v>
      </c>
      <c r="J27" s="937"/>
      <c r="K27" s="937"/>
      <c r="L27" s="937"/>
      <c r="M27" s="43" t="s">
        <v>88</v>
      </c>
      <c r="N27" s="44">
        <f>ROUND((((1+N18+N19+N20)*(1+N21)*(1+N22)/(1-(N23+N24+N25)))-1),4)</f>
        <v>0.1958</v>
      </c>
      <c r="O27" s="45" t="str">
        <f>IF(Q11&lt;&gt;"Sim","",IF(COUNTIF($O$18:$O$26,"NÃO OK")&gt;0,"NÃO OK","OK"))</f>
        <v>OK</v>
      </c>
      <c r="P27" s="938"/>
      <c r="Q27" s="938"/>
      <c r="R27" s="938"/>
    </row>
    <row r="28" spans="1:7" ht="12.75">
      <c r="A28" s="28" t="str">
        <f>A27</f>
        <v>Obras Portuárias, Marítimas e Fluviais</v>
      </c>
      <c r="B28" s="29" t="s">
        <v>56</v>
      </c>
      <c r="C28" s="28" t="str">
        <f t="shared" si="0"/>
        <v>Obras Portuárias, Marítimas e Fluviais-SG</v>
      </c>
      <c r="E28" s="30">
        <v>0.008100000000000001</v>
      </c>
      <c r="F28" s="30">
        <v>0.012199999999999999</v>
      </c>
      <c r="G28" s="30">
        <v>0.0199</v>
      </c>
    </row>
    <row r="29" spans="1:18" ht="27.75" customHeight="1">
      <c r="A29" s="28" t="str">
        <f>A28</f>
        <v>Obras Portuárias, Marítimas e Fluviais</v>
      </c>
      <c r="B29" s="29" t="s">
        <v>57</v>
      </c>
      <c r="C29" s="28" t="str">
        <f t="shared" si="0"/>
        <v>Obras Portuárias, Marítimas e Fluviais-R</v>
      </c>
      <c r="E29" s="30">
        <v>0.0146</v>
      </c>
      <c r="F29" s="30">
        <v>0.0232</v>
      </c>
      <c r="G29" s="30">
        <v>0.0316</v>
      </c>
      <c r="I29" s="939" t="s">
        <v>89</v>
      </c>
      <c r="J29" s="939"/>
      <c r="K29" s="939"/>
      <c r="L29" s="939"/>
      <c r="M29" s="939"/>
      <c r="N29" s="939"/>
      <c r="O29" s="939"/>
      <c r="P29" s="939"/>
      <c r="Q29" s="939"/>
      <c r="R29" s="939"/>
    </row>
    <row r="30" spans="2:18" ht="27.75" customHeight="1">
      <c r="B30" s="29"/>
      <c r="E30" s="30"/>
      <c r="F30" s="30"/>
      <c r="G30" s="30"/>
      <c r="I30" s="46"/>
      <c r="J30" s="46"/>
      <c r="K30" s="46"/>
      <c r="L30" s="928" t="str">
        <f>IF(Q11="Sim","BDI.DES =","BDI.PAD =")</f>
        <v>BDI.DES =</v>
      </c>
      <c r="M30" s="935" t="str">
        <f>IF($I$11=$A$56,"(1+K1+K2)*(1+K3)","(1+AC + S + R + G)*(1 + DF)*(1+L)")</f>
        <v>(1+AC + S + R + G)*(1 + DF)*(1+L)</v>
      </c>
      <c r="N30" s="935"/>
      <c r="O30" s="935"/>
      <c r="P30" s="929" t="s">
        <v>90</v>
      </c>
      <c r="Q30" s="46"/>
      <c r="R30" s="46"/>
    </row>
    <row r="31" spans="2:18" ht="27.75" customHeight="1">
      <c r="B31" s="29"/>
      <c r="E31" s="30"/>
      <c r="F31" s="30"/>
      <c r="G31" s="30"/>
      <c r="I31" s="46"/>
      <c r="J31" s="46"/>
      <c r="K31" s="46"/>
      <c r="L31" s="928"/>
      <c r="M31" s="934" t="str">
        <f>IF(Q11="Sim","(1-CP-ISS-CRPB)","(1-CP-ISS)")</f>
        <v>(1-CP-ISS-CRPB)</v>
      </c>
      <c r="N31" s="934"/>
      <c r="O31" s="934"/>
      <c r="P31" s="930"/>
      <c r="Q31" s="46"/>
      <c r="R31" s="46"/>
    </row>
    <row r="32" spans="1:18" ht="19.5" customHeight="1">
      <c r="A32" s="28" t="str">
        <f>A29</f>
        <v>Obras Portuárias, Marítimas e Fluviais</v>
      </c>
      <c r="B32" s="29" t="s">
        <v>60</v>
      </c>
      <c r="C32" s="28" t="str">
        <f t="shared" si="0"/>
        <v>Obras Portuárias, Marítimas e Fluviais-DF</v>
      </c>
      <c r="E32" s="30">
        <v>0.009399999999999999</v>
      </c>
      <c r="F32" s="30">
        <v>0.0102</v>
      </c>
      <c r="G32" s="30">
        <v>0.013300000000000001</v>
      </c>
      <c r="I32" s="47"/>
      <c r="J32" s="47"/>
      <c r="K32" s="47"/>
      <c r="L32" s="47"/>
      <c r="M32" s="47"/>
      <c r="N32" s="47"/>
      <c r="O32" s="47"/>
      <c r="P32" s="47"/>
      <c r="Q32" s="47"/>
      <c r="R32" s="47"/>
    </row>
    <row r="33" spans="1:18" ht="49.5" customHeight="1">
      <c r="A33" s="28" t="str">
        <f>A32</f>
        <v>Obras Portuárias, Marítimas e Fluviais</v>
      </c>
      <c r="B33" s="29" t="s">
        <v>61</v>
      </c>
      <c r="C33" s="28" t="str">
        <f t="shared" si="0"/>
        <v>Obras Portuárias, Marítimas e Fluviais-L</v>
      </c>
      <c r="E33" s="30">
        <v>0.07139999999999999</v>
      </c>
      <c r="F33" s="30">
        <v>0.084</v>
      </c>
      <c r="G33" s="30">
        <v>0.1043</v>
      </c>
      <c r="I33" s="973" t="str">
        <f>CONCATENATE("Declaro para os devidos fins que, conforme legislação tributária municipal, a base de cálculo para ",I11,", é de ",Q13*100,"%, com a respectiva alíquota de ",Q14*100,"%.")</f>
        <v>Declaro para os devidos fins que, conforme legislação tributária municipal, a base de cálculo para Fornecimento de Materiais e Equipamentos, é de 40%, com a respectiva alíquota de 5%.</v>
      </c>
      <c r="J33" s="973"/>
      <c r="K33" s="973"/>
      <c r="L33" s="973"/>
      <c r="M33" s="973"/>
      <c r="N33" s="973"/>
      <c r="O33" s="973"/>
      <c r="P33" s="973"/>
      <c r="Q33" s="973"/>
      <c r="R33" s="973"/>
    </row>
    <row r="34" spans="1:7" ht="22.5" customHeight="1">
      <c r="A34" s="28" t="str">
        <f>A33</f>
        <v>Obras Portuárias, Marítimas e Fluviais</v>
      </c>
      <c r="B34" s="34" t="s">
        <v>62</v>
      </c>
      <c r="C34" s="28" t="str">
        <f t="shared" si="0"/>
        <v>Obras Portuárias, Marítimas e Fluviais-BDI PAD</v>
      </c>
      <c r="E34" s="30">
        <v>0.228</v>
      </c>
      <c r="F34" s="30">
        <v>0.2748</v>
      </c>
      <c r="G34" s="30">
        <v>0.3095</v>
      </c>
    </row>
    <row r="35" spans="2:7" ht="12.75">
      <c r="B35" s="34"/>
      <c r="E35" s="30"/>
      <c r="F35" s="30"/>
      <c r="G35" s="30"/>
    </row>
    <row r="36" spans="1:16" ht="12.75">
      <c r="A36" s="28" t="s">
        <v>91</v>
      </c>
      <c r="B36" s="29" t="s">
        <v>55</v>
      </c>
      <c r="C36" s="28" t="str">
        <f t="shared" si="0"/>
        <v>Fornecimento de Materiais e Equipamentos-AC</v>
      </c>
      <c r="E36" s="30">
        <v>0.015</v>
      </c>
      <c r="F36" s="30">
        <v>0.0345</v>
      </c>
      <c r="G36" s="30">
        <v>0.0449</v>
      </c>
      <c r="I36" s="931" t="s">
        <v>92</v>
      </c>
      <c r="J36" s="931"/>
      <c r="K36" s="931"/>
      <c r="L36" s="931"/>
      <c r="P36" s="48" t="s">
        <v>93</v>
      </c>
    </row>
    <row r="37" spans="1:18" ht="12.75">
      <c r="A37" s="28" t="str">
        <f>A36</f>
        <v>Fornecimento de Materiais e Equipamentos</v>
      </c>
      <c r="B37" s="29" t="s">
        <v>56</v>
      </c>
      <c r="C37" s="28" t="str">
        <f t="shared" si="0"/>
        <v>Fornecimento de Materiais e Equipamentos-SG</v>
      </c>
      <c r="E37" s="30">
        <v>0.003</v>
      </c>
      <c r="F37" s="30">
        <v>0.0048</v>
      </c>
      <c r="G37" s="30">
        <v>0.008199999999999999</v>
      </c>
      <c r="I37" s="978"/>
      <c r="J37" s="978"/>
      <c r="K37" s="978"/>
      <c r="L37" s="978"/>
      <c r="N37" s="49"/>
      <c r="P37" s="974"/>
      <c r="Q37" s="974"/>
      <c r="R37" s="974"/>
    </row>
    <row r="38" spans="1:7" ht="12.75">
      <c r="A38" s="28" t="str">
        <f>A37</f>
        <v>Fornecimento de Materiais e Equipamentos</v>
      </c>
      <c r="B38" s="29" t="s">
        <v>57</v>
      </c>
      <c r="C38" s="28" t="str">
        <f t="shared" si="0"/>
        <v>Fornecimento de Materiais e Equipamentos-R</v>
      </c>
      <c r="E38" s="30">
        <v>0.005600000000000001</v>
      </c>
      <c r="F38" s="30">
        <v>0.0085</v>
      </c>
      <c r="G38" s="30">
        <v>0.0089</v>
      </c>
    </row>
    <row r="39" spans="1:18" ht="31.5" customHeight="1">
      <c r="A39" s="28" t="str">
        <f>A38</f>
        <v>Fornecimento de Materiais e Equipamentos</v>
      </c>
      <c r="B39" s="29" t="s">
        <v>60</v>
      </c>
      <c r="C39" s="28" t="str">
        <f t="shared" si="0"/>
        <v>Fornecimento de Materiais e Equipamentos-DF</v>
      </c>
      <c r="E39" s="30">
        <v>0.0085</v>
      </c>
      <c r="F39" s="30">
        <v>0.0085</v>
      </c>
      <c r="G39" s="30">
        <v>0.0111</v>
      </c>
      <c r="I39" s="979"/>
      <c r="J39" s="979"/>
      <c r="K39" s="979"/>
      <c r="L39" s="979"/>
      <c r="M39" s="50"/>
      <c r="N39" s="50"/>
      <c r="O39" s="979"/>
      <c r="P39" s="979"/>
      <c r="Q39" s="979"/>
      <c r="R39" s="979"/>
    </row>
    <row r="40" spans="1:18" ht="12.75">
      <c r="A40" s="28" t="str">
        <f>A39</f>
        <v>Fornecimento de Materiais e Equipamentos</v>
      </c>
      <c r="B40" s="29" t="s">
        <v>61</v>
      </c>
      <c r="C40" s="28" t="str">
        <f t="shared" si="0"/>
        <v>Fornecimento de Materiais e Equipamentos-L</v>
      </c>
      <c r="E40" s="30">
        <v>0.035</v>
      </c>
      <c r="F40" s="30">
        <v>0.051100000000000007</v>
      </c>
      <c r="G40" s="30">
        <v>0.0622</v>
      </c>
      <c r="I40" s="926" t="s">
        <v>94</v>
      </c>
      <c r="J40" s="926"/>
      <c r="K40" s="926"/>
      <c r="L40" s="926"/>
      <c r="M40" s="51"/>
      <c r="N40" s="51"/>
      <c r="O40" s="926" t="s">
        <v>338</v>
      </c>
      <c r="P40" s="926"/>
      <c r="Q40" s="926"/>
      <c r="R40" s="926"/>
    </row>
    <row r="41" spans="1:18" ht="15" customHeight="1">
      <c r="A41" s="28" t="str">
        <f>A40</f>
        <v>Fornecimento de Materiais e Equipamentos</v>
      </c>
      <c r="B41" s="34" t="s">
        <v>62</v>
      </c>
      <c r="C41" s="28" t="str">
        <f t="shared" si="0"/>
        <v>Fornecimento de Materiais e Equipamentos-BDI PAD</v>
      </c>
      <c r="E41" s="30">
        <v>0.111</v>
      </c>
      <c r="F41" s="30">
        <v>0.1402</v>
      </c>
      <c r="G41" s="30">
        <v>0.168</v>
      </c>
      <c r="I41" s="31" t="s">
        <v>95</v>
      </c>
      <c r="J41" s="975"/>
      <c r="K41" s="975"/>
      <c r="L41" s="975"/>
      <c r="M41" s="52"/>
      <c r="N41" s="52"/>
      <c r="O41" s="31" t="s">
        <v>95</v>
      </c>
      <c r="P41" s="974"/>
      <c r="Q41" s="974"/>
      <c r="R41" s="974"/>
    </row>
    <row r="42" spans="1:18" ht="14.25">
      <c r="A42" s="28" t="s">
        <v>96</v>
      </c>
      <c r="B42" s="29" t="s">
        <v>97</v>
      </c>
      <c r="C42" s="28" t="str">
        <f t="shared" si="0"/>
        <v>Estudos e Projetos, Planos e Gerenciamento e outros correlatos-K1</v>
      </c>
      <c r="E42" s="30" t="s">
        <v>78</v>
      </c>
      <c r="F42" s="30" t="s">
        <v>78</v>
      </c>
      <c r="G42" s="30" t="s">
        <v>78</v>
      </c>
      <c r="I42" s="31" t="s">
        <v>98</v>
      </c>
      <c r="J42" s="975"/>
      <c r="K42" s="975"/>
      <c r="L42" s="975"/>
      <c r="M42" s="52"/>
      <c r="N42" s="52"/>
      <c r="O42" s="31" t="s">
        <v>339</v>
      </c>
      <c r="P42" s="974"/>
      <c r="Q42" s="974"/>
      <c r="R42" s="974"/>
    </row>
    <row r="43" spans="1:18" ht="14.25">
      <c r="A43" s="28" t="str">
        <f>A42</f>
        <v>Estudos e Projetos, Planos e Gerenciamento e outros correlatos</v>
      </c>
      <c r="B43" s="29" t="s">
        <v>99</v>
      </c>
      <c r="C43" s="28" t="str">
        <f t="shared" si="0"/>
        <v>Estudos e Projetos, Planos e Gerenciamento e outros correlatos-K2</v>
      </c>
      <c r="E43" s="30" t="s">
        <v>78</v>
      </c>
      <c r="F43" s="30">
        <v>0.2</v>
      </c>
      <c r="G43" s="30" t="s">
        <v>78</v>
      </c>
      <c r="I43" s="31" t="s">
        <v>340</v>
      </c>
      <c r="J43" s="975"/>
      <c r="K43" s="975"/>
      <c r="L43" s="975"/>
      <c r="M43" s="52"/>
      <c r="N43" s="52"/>
      <c r="O43" s="52"/>
      <c r="P43" s="52"/>
      <c r="Q43" s="52"/>
      <c r="R43" s="52"/>
    </row>
    <row r="44" spans="1:7" ht="12.75">
      <c r="A44" s="28" t="str">
        <f>A43</f>
        <v>Estudos e Projetos, Planos e Gerenciamento e outros correlatos</v>
      </c>
      <c r="B44" s="29" t="s">
        <v>100</v>
      </c>
      <c r="C44" s="28" t="str">
        <f t="shared" si="0"/>
        <v>Estudos e Projetos, Planos e Gerenciamento e outros correlatos-</v>
      </c>
      <c r="E44" s="30" t="s">
        <v>78</v>
      </c>
      <c r="F44" s="30" t="s">
        <v>78</v>
      </c>
      <c r="G44" s="30" t="s">
        <v>78</v>
      </c>
    </row>
    <row r="45" spans="1:7" ht="12.75" hidden="1">
      <c r="A45" s="28" t="str">
        <f>A44</f>
        <v>Estudos e Projetos, Planos e Gerenciamento e outros correlatos</v>
      </c>
      <c r="B45" s="29" t="s">
        <v>100</v>
      </c>
      <c r="C45" s="28" t="str">
        <f t="shared" si="0"/>
        <v>Estudos e Projetos, Planos e Gerenciamento e outros correlatos-</v>
      </c>
      <c r="E45" s="30" t="s">
        <v>78</v>
      </c>
      <c r="F45" s="30" t="s">
        <v>78</v>
      </c>
      <c r="G45" s="30" t="s">
        <v>78</v>
      </c>
    </row>
    <row r="46" spans="1:7" ht="12.75" hidden="1">
      <c r="A46" s="28" t="str">
        <f>A45</f>
        <v>Estudos e Projetos, Planos e Gerenciamento e outros correlatos</v>
      </c>
      <c r="B46" s="29" t="s">
        <v>101</v>
      </c>
      <c r="C46" s="28" t="str">
        <f t="shared" si="0"/>
        <v>Estudos e Projetos, Planos e Gerenciamento e outros correlatos-K3</v>
      </c>
      <c r="E46" s="30" t="s">
        <v>78</v>
      </c>
      <c r="F46" s="30">
        <v>0.12</v>
      </c>
      <c r="G46" s="30" t="s">
        <v>78</v>
      </c>
    </row>
    <row r="47" spans="1:7" ht="12.75" hidden="1">
      <c r="A47" s="28" t="str">
        <f>A46</f>
        <v>Estudos e Projetos, Planos e Gerenciamento e outros correlatos</v>
      </c>
      <c r="B47" s="34" t="s">
        <v>62</v>
      </c>
      <c r="C47" s="28" t="str">
        <f t="shared" si="0"/>
        <v>Estudos e Projetos, Planos e Gerenciamento e outros correlatos-BDI PAD</v>
      </c>
      <c r="E47" s="30" t="s">
        <v>78</v>
      </c>
      <c r="F47" s="30" t="s">
        <v>78</v>
      </c>
      <c r="G47" s="30" t="s">
        <v>78</v>
      </c>
    </row>
    <row r="48" ht="12.75" hidden="1"/>
    <row r="49" ht="12.75" hidden="1"/>
    <row r="50" ht="12.75" hidden="1">
      <c r="A50" s="28" t="s">
        <v>54</v>
      </c>
    </row>
    <row r="51" ht="12.75" hidden="1">
      <c r="A51" s="28" t="s">
        <v>64</v>
      </c>
    </row>
    <row r="52" ht="12.75" hidden="1">
      <c r="A52" s="28" t="s">
        <v>68</v>
      </c>
    </row>
    <row r="53" ht="12.75" hidden="1">
      <c r="A53" s="28" t="s">
        <v>79</v>
      </c>
    </row>
    <row r="54" ht="12.75" hidden="1">
      <c r="A54" s="28" t="s">
        <v>86</v>
      </c>
    </row>
    <row r="55" ht="12.75" hidden="1">
      <c r="A55" s="28" t="s">
        <v>91</v>
      </c>
    </row>
    <row r="56" ht="12.75" hidden="1">
      <c r="A56" s="28" t="s">
        <v>96</v>
      </c>
    </row>
    <row r="57" spans="1:7" ht="14.25" hidden="1">
      <c r="A57" s="53"/>
      <c r="B57" s="52"/>
      <c r="C57" s="52"/>
      <c r="D57" s="52"/>
      <c r="E57" s="52"/>
      <c r="F57" s="52"/>
      <c r="G57" s="52"/>
    </row>
    <row r="58" ht="12.75" customHeight="1"/>
    <row r="59" ht="12.75" customHeight="1"/>
  </sheetData>
  <sheetProtection/>
  <protectedRanges>
    <protectedRange sqref="I5 K5 Q13:R14 I37 J41:L43 P37 P41:R42 I8 Q11 N18:N24" name="Intervalo1_1"/>
  </protectedRanges>
  <mergeCells count="50">
    <mergeCell ref="P41:R41"/>
    <mergeCell ref="J42:L42"/>
    <mergeCell ref="P42:R42"/>
    <mergeCell ref="J43:L43"/>
    <mergeCell ref="Q2:R2"/>
    <mergeCell ref="J41:L41"/>
    <mergeCell ref="I37:L37"/>
    <mergeCell ref="P37:R37"/>
    <mergeCell ref="I39:L39"/>
    <mergeCell ref="O39:R39"/>
    <mergeCell ref="I40:L40"/>
    <mergeCell ref="O40:R40"/>
    <mergeCell ref="L30:L31"/>
    <mergeCell ref="M30:O30"/>
    <mergeCell ref="P30:P31"/>
    <mergeCell ref="M31:O31"/>
    <mergeCell ref="I33:R33"/>
    <mergeCell ref="I36:L36"/>
    <mergeCell ref="I24:L24"/>
    <mergeCell ref="I25:L25"/>
    <mergeCell ref="I26:L26"/>
    <mergeCell ref="I27:L27"/>
    <mergeCell ref="P27:R27"/>
    <mergeCell ref="I29:R29"/>
    <mergeCell ref="I18:L18"/>
    <mergeCell ref="I19:L19"/>
    <mergeCell ref="I20:L20"/>
    <mergeCell ref="I21:L21"/>
    <mergeCell ref="I22:L22"/>
    <mergeCell ref="I23:L23"/>
    <mergeCell ref="I14:P14"/>
    <mergeCell ref="Q14:R14"/>
    <mergeCell ref="I16:L17"/>
    <mergeCell ref="M16:M17"/>
    <mergeCell ref="N16:N17"/>
    <mergeCell ref="O16:O17"/>
    <mergeCell ref="P16:R16"/>
    <mergeCell ref="I8:R8"/>
    <mergeCell ref="I10:P10"/>
    <mergeCell ref="Q10:R10"/>
    <mergeCell ref="I11:P11"/>
    <mergeCell ref="Q11:R11"/>
    <mergeCell ref="I13:P13"/>
    <mergeCell ref="Q13:R13"/>
    <mergeCell ref="Q1:R1"/>
    <mergeCell ref="I4:J4"/>
    <mergeCell ref="K4:R4"/>
    <mergeCell ref="I5:J5"/>
    <mergeCell ref="K5:R5"/>
    <mergeCell ref="I7:R7"/>
  </mergeCells>
  <conditionalFormatting sqref="O18:O27">
    <cfRule type="cellIs" priority="4" dxfId="14" operator="equal" stopIfTrue="1">
      <formula>"NÃO OK"</formula>
    </cfRule>
    <cfRule type="cellIs" priority="5" dxfId="15" operator="equal" stopIfTrue="1">
      <formula>"OK"</formula>
    </cfRule>
  </conditionalFormatting>
  <conditionalFormatting sqref="I26:N26">
    <cfRule type="expression" priority="3" dxfId="5" stopIfTrue="1">
      <formula>$Q$11="Não"</formula>
    </cfRule>
  </conditionalFormatting>
  <conditionalFormatting sqref="I27:N27">
    <cfRule type="expression" priority="2" dxfId="16" stopIfTrue="1">
      <formula>$Q$11="sim"</formula>
    </cfRule>
  </conditionalFormatting>
  <conditionalFormatting sqref="P27:R27">
    <cfRule type="expression" priority="1" dxfId="14" stopIfTrue="1">
      <formula>$Q$11="sim"</formula>
    </cfRule>
  </conditionalFormatting>
  <conditionalFormatting sqref="I14:P14">
    <cfRule type="expression" priority="6" dxfId="2" stopIfTrue="1">
      <formula>$I$11=$A$55</formula>
    </cfRule>
  </conditionalFormatting>
  <conditionalFormatting sqref="I13:P13 I33:R33">
    <cfRule type="expression" priority="7" dxfId="1" stopIfTrue="1">
      <formula>$I$11=$A$55</formula>
    </cfRule>
  </conditionalFormatting>
  <conditionalFormatting sqref="I5:R5 I11:R11 Q13:R14 I37:L37 P37:R37 J41:L43 P41:R42 I8 N18:N24">
    <cfRule type="cellIs" priority="8" dxfId="0" operator="notEqual" stopIfTrue="1">
      <formula>""</formula>
    </cfRule>
  </conditionalFormatting>
  <dataValidations count="6">
    <dataValidation type="decimal" allowBlank="1" showInputMessage="1" showErrorMessage="1" errorTitle="Erro de valores" error="Digite um valor entre 0% e 100%" sqref="N18:N24">
      <formula1>0</formula1>
      <formula2>1</formula2>
    </dataValidation>
    <dataValidation type="decimal" operator="greaterThanOrEqual" allowBlank="1" showInputMessage="1" showErrorMessage="1" promptTitle="Valores comuns:" prompt="Normalmente entre 2 e 5%." errorTitle="Valor não permitido" error="Digite um percentual entre 0% e 100%." sqref="Q14:R14">
      <formula1>0</formula1>
    </dataValidation>
    <dataValidation type="decimal" allowBlank="1" showInputMessage="1" showErrorMessage="1" promptTitle="Valores admissíveis:" prompt="Insira valores entre 0 e 100%." errorTitle="Valor não permitido" error="Digite um percentual entre 0% e 100%." sqref="Q13:R13">
      <formula1>0</formula1>
      <formula2>1</formula2>
    </dataValidation>
    <dataValidation operator="greaterThanOrEqual" allowBlank="1" showInputMessage="1" showErrorMessage="1" errorTitle="Erro de valores" error="Digite um valor igual a 0% ou 2%." sqref="N25"/>
    <dataValidation type="list" allowBlank="1" showInputMessage="1" showErrorMessage="1" sqref="I11:P11">
      <formula1>$A$50:$A$56</formula1>
    </dataValidation>
    <dataValidation type="list" allowBlank="1" showInputMessage="1" showErrorMessage="1" sqref="Q11:R11">
      <formula1>"Sim,Não"</formula1>
    </dataValidation>
  </dataValidations>
  <printOptions/>
  <pageMargins left="0.511811024" right="0.511811024" top="0.787401575" bottom="0.787401575" header="0.31496062" footer="0.31496062"/>
  <pageSetup orientation="portrait" paperSize="9"/>
  <drawing r:id="rId3"/>
  <legacyDrawing r:id="rId2"/>
  <oleObjects>
    <oleObject progId="" shapeId="15500038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2"/>
  <sheetViews>
    <sheetView zoomScale="90" zoomScaleNormal="90" zoomScalePageLayoutView="0" workbookViewId="0" topLeftCell="A1">
      <selection activeCell="C13" sqref="C13"/>
    </sheetView>
  </sheetViews>
  <sheetFormatPr defaultColWidth="9.140625" defaultRowHeight="12.75"/>
  <cols>
    <col min="1" max="1" width="11.57421875" style="228" customWidth="1"/>
    <col min="2" max="2" width="14.57421875" style="19" customWidth="1"/>
    <col min="3" max="3" width="58.8515625" style="262" customWidth="1"/>
    <col min="4" max="4" width="6.57421875" style="9" customWidth="1"/>
    <col min="5" max="5" width="7.57421875" style="15" customWidth="1"/>
    <col min="6" max="6" width="14.7109375" style="293" customWidth="1"/>
    <col min="7" max="7" width="17.421875" style="20" customWidth="1"/>
    <col min="8" max="8" width="0.13671875" style="19" hidden="1" customWidth="1"/>
    <col min="9" max="9" width="17.140625" style="19" bestFit="1" customWidth="1"/>
    <col min="10" max="10" width="17.00390625" style="19" customWidth="1"/>
    <col min="11" max="11" width="18.421875" style="228" customWidth="1"/>
    <col min="12" max="12" width="1.57421875" style="9" customWidth="1"/>
    <col min="13" max="13" width="8.57421875" style="9" customWidth="1"/>
    <col min="14" max="14" width="7.57421875" style="14" customWidth="1"/>
    <col min="15" max="15" width="10.421875" style="14" customWidth="1"/>
    <col min="16" max="16" width="11.57421875" style="9" customWidth="1"/>
    <col min="17" max="17" width="14.140625" style="18" customWidth="1"/>
    <col min="18" max="18" width="8.8515625" style="18" customWidth="1"/>
    <col min="19" max="19" width="11.140625" style="9" customWidth="1"/>
    <col min="20" max="20" width="9.140625" style="9" customWidth="1"/>
    <col min="21" max="21" width="18.28125" style="9" customWidth="1"/>
    <col min="22" max="22" width="21.8515625" style="9" customWidth="1"/>
    <col min="23" max="23" width="24.57421875" style="9" customWidth="1"/>
    <col min="24" max="24" width="22.00390625" style="9" customWidth="1"/>
    <col min="25" max="16384" width="9.140625" style="9" customWidth="1"/>
  </cols>
  <sheetData>
    <row r="1" spans="1:15" ht="24.75" customHeight="1">
      <c r="A1" s="702" t="s">
        <v>102</v>
      </c>
      <c r="B1" s="703"/>
      <c r="C1" s="703"/>
      <c r="D1" s="703"/>
      <c r="E1" s="703"/>
      <c r="F1" s="703"/>
      <c r="G1" s="703"/>
      <c r="H1" s="703"/>
      <c r="I1" s="703"/>
      <c r="J1" s="704"/>
      <c r="K1" s="226"/>
      <c r="N1" s="9"/>
      <c r="O1" s="9"/>
    </row>
    <row r="2" spans="1:15" ht="19.5" customHeight="1">
      <c r="A2" s="719" t="s">
        <v>262</v>
      </c>
      <c r="B2" s="720"/>
      <c r="C2" s="720"/>
      <c r="D2" s="720"/>
      <c r="E2" s="720"/>
      <c r="F2" s="720"/>
      <c r="G2" s="720"/>
      <c r="H2" s="720"/>
      <c r="I2" s="720"/>
      <c r="J2" s="721"/>
      <c r="K2" s="226"/>
      <c r="N2" s="9"/>
      <c r="O2" s="9"/>
    </row>
    <row r="3" spans="1:15" ht="24.75" customHeight="1" thickBot="1">
      <c r="A3" s="713" t="s">
        <v>295</v>
      </c>
      <c r="B3" s="714"/>
      <c r="C3" s="714"/>
      <c r="D3" s="714"/>
      <c r="E3" s="714"/>
      <c r="F3" s="714"/>
      <c r="G3" s="714"/>
      <c r="H3" s="714"/>
      <c r="I3" s="714"/>
      <c r="J3" s="715"/>
      <c r="K3" s="227"/>
      <c r="N3" s="9"/>
      <c r="O3" s="9"/>
    </row>
    <row r="4" spans="1:15" ht="13.5" thickBot="1">
      <c r="A4" s="311" t="s">
        <v>114</v>
      </c>
      <c r="B4" s="251" t="s">
        <v>296</v>
      </c>
      <c r="C4" s="261"/>
      <c r="D4" s="252"/>
      <c r="E4" s="253"/>
      <c r="F4" s="368"/>
      <c r="G4" s="283"/>
      <c r="J4" s="75"/>
      <c r="L4" s="11"/>
      <c r="M4" s="10"/>
      <c r="N4" s="9"/>
      <c r="O4" s="9"/>
    </row>
    <row r="5" spans="1:18" s="17" customFormat="1" ht="17.25" customHeight="1" thickBot="1">
      <c r="A5" s="312" t="s">
        <v>20</v>
      </c>
      <c r="B5" s="21" t="s">
        <v>261</v>
      </c>
      <c r="C5" s="16"/>
      <c r="D5" s="10"/>
      <c r="E5" s="10"/>
      <c r="F5" s="369"/>
      <c r="G5" s="731"/>
      <c r="H5" s="731"/>
      <c r="I5" s="731"/>
      <c r="J5" s="732"/>
      <c r="K5" s="229"/>
      <c r="L5" s="10"/>
      <c r="M5" s="16"/>
      <c r="Q5" s="23"/>
      <c r="R5" s="23"/>
    </row>
    <row r="6" spans="1:15" ht="18" customHeight="1" thickBot="1">
      <c r="A6" s="313" t="s">
        <v>319</v>
      </c>
      <c r="B6" s="12" t="s">
        <v>15</v>
      </c>
      <c r="C6" s="12"/>
      <c r="D6" s="11"/>
      <c r="E6" s="9"/>
      <c r="F6" s="370"/>
      <c r="G6" s="285" t="s">
        <v>44</v>
      </c>
      <c r="H6" s="77"/>
      <c r="I6" s="79">
        <v>0.25</v>
      </c>
      <c r="J6" s="80"/>
      <c r="L6" s="12"/>
      <c r="M6" s="11"/>
      <c r="N6" s="9"/>
      <c r="O6" s="9"/>
    </row>
    <row r="7" spans="1:15" ht="16.5" customHeight="1" thickBot="1">
      <c r="A7" s="314" t="s">
        <v>115</v>
      </c>
      <c r="B7" s="12"/>
      <c r="C7" s="12" t="s">
        <v>310</v>
      </c>
      <c r="D7" s="11"/>
      <c r="E7" s="9"/>
      <c r="F7" s="370"/>
      <c r="G7" s="284" t="s">
        <v>117</v>
      </c>
      <c r="H7" s="78"/>
      <c r="I7" s="78"/>
      <c r="J7" s="358"/>
      <c r="K7" s="230"/>
      <c r="L7" s="12"/>
      <c r="M7" s="11"/>
      <c r="N7" s="9"/>
      <c r="O7" s="9"/>
    </row>
    <row r="8" spans="1:15" ht="15" customHeight="1" thickBot="1">
      <c r="A8" s="315" t="s">
        <v>116</v>
      </c>
      <c r="B8" s="13">
        <v>43891</v>
      </c>
      <c r="C8" s="12"/>
      <c r="D8" s="11"/>
      <c r="E8" s="9"/>
      <c r="F8" s="370"/>
      <c r="G8" s="284" t="s">
        <v>118</v>
      </c>
      <c r="H8" s="76"/>
      <c r="I8" s="76"/>
      <c r="J8" s="359"/>
      <c r="K8" s="230"/>
      <c r="L8" s="12"/>
      <c r="M8" s="11"/>
      <c r="N8" s="9"/>
      <c r="O8" s="9"/>
    </row>
    <row r="9" spans="1:15" ht="13.5" thickBot="1">
      <c r="A9" s="316"/>
      <c r="B9" s="22"/>
      <c r="C9" s="22"/>
      <c r="D9" s="716"/>
      <c r="E9" s="716"/>
      <c r="F9" s="371"/>
      <c r="G9" s="285" t="s">
        <v>268</v>
      </c>
      <c r="H9" s="254"/>
      <c r="I9" s="395">
        <f>F67</f>
        <v>3523.4000000000005</v>
      </c>
      <c r="J9" s="360"/>
      <c r="K9" s="231"/>
      <c r="L9" s="12"/>
      <c r="M9" s="11"/>
      <c r="N9" s="9"/>
      <c r="O9" s="9"/>
    </row>
    <row r="10" spans="1:18" s="15" customFormat="1" ht="12.75" customHeight="1" thickBot="1">
      <c r="A10" s="724" t="s">
        <v>3</v>
      </c>
      <c r="B10" s="735" t="s">
        <v>103</v>
      </c>
      <c r="C10" s="711" t="s">
        <v>43</v>
      </c>
      <c r="D10" s="709" t="s">
        <v>16</v>
      </c>
      <c r="E10" s="709" t="s">
        <v>17</v>
      </c>
      <c r="F10" s="705" t="s">
        <v>18</v>
      </c>
      <c r="G10" s="729" t="s">
        <v>40</v>
      </c>
      <c r="H10" s="717" t="s">
        <v>42</v>
      </c>
      <c r="I10" s="707" t="s">
        <v>39</v>
      </c>
      <c r="J10" s="717" t="s">
        <v>41</v>
      </c>
      <c r="K10" s="232"/>
      <c r="L10" s="366"/>
      <c r="M10" s="366"/>
      <c r="N10" s="739" t="s">
        <v>5</v>
      </c>
      <c r="O10" s="27"/>
      <c r="Q10" s="367"/>
      <c r="R10" s="367"/>
    </row>
    <row r="11" spans="1:18" s="388" customFormat="1" ht="13.5" customHeight="1" thickBot="1">
      <c r="A11" s="725"/>
      <c r="B11" s="736"/>
      <c r="C11" s="712"/>
      <c r="D11" s="710"/>
      <c r="E11" s="710"/>
      <c r="F11" s="706"/>
      <c r="G11" s="730"/>
      <c r="H11" s="718"/>
      <c r="I11" s="708"/>
      <c r="J11" s="718"/>
      <c r="K11" s="387"/>
      <c r="N11" s="740"/>
      <c r="O11" s="389"/>
      <c r="Q11" s="390"/>
      <c r="R11" s="390"/>
    </row>
    <row r="12" spans="1:15" ht="17.25" customHeight="1" thickBot="1">
      <c r="A12" s="382" t="s">
        <v>6</v>
      </c>
      <c r="B12" s="391"/>
      <c r="C12" s="392" t="s">
        <v>119</v>
      </c>
      <c r="D12" s="393"/>
      <c r="E12" s="393"/>
      <c r="F12" s="394"/>
      <c r="G12" s="383"/>
      <c r="H12" s="384"/>
      <c r="I12" s="384"/>
      <c r="J12" s="385"/>
      <c r="K12" s="233"/>
      <c r="N12" s="386"/>
      <c r="O12" s="68"/>
    </row>
    <row r="13" spans="1:18" s="228" customFormat="1" ht="19.5" customHeight="1">
      <c r="A13" s="317" t="s">
        <v>7</v>
      </c>
      <c r="B13" s="321" t="s">
        <v>323</v>
      </c>
      <c r="C13" s="345" t="s">
        <v>120</v>
      </c>
      <c r="D13" s="271"/>
      <c r="E13" s="271" t="s">
        <v>19</v>
      </c>
      <c r="F13" s="373">
        <f>P13</f>
        <v>6</v>
      </c>
      <c r="G13" s="380">
        <f>COMPOSIÇÕES!I85</f>
        <v>364.9468</v>
      </c>
      <c r="H13" s="381"/>
      <c r="I13" s="381">
        <f>ROUND(G13*(1+I$6),2)</f>
        <v>456.18</v>
      </c>
      <c r="J13" s="361">
        <f>ROUND(I13*F13,2)</f>
        <v>2737.08</v>
      </c>
      <c r="K13" s="234"/>
      <c r="L13" s="266" t="e">
        <f>#REF!*N13</f>
        <v>#REF!</v>
      </c>
      <c r="N13" s="289">
        <v>141.03</v>
      </c>
      <c r="O13" s="290"/>
      <c r="P13" s="228">
        <f>2*3</f>
        <v>6</v>
      </c>
      <c r="Q13" s="270"/>
      <c r="R13" s="270"/>
    </row>
    <row r="14" spans="1:256" s="228" customFormat="1" ht="27.75" customHeight="1" thickBot="1">
      <c r="A14" s="396" t="s">
        <v>50</v>
      </c>
      <c r="B14" s="589" t="s">
        <v>321</v>
      </c>
      <c r="C14" s="590" t="s">
        <v>274</v>
      </c>
      <c r="D14" s="589"/>
      <c r="E14" s="591" t="s">
        <v>121</v>
      </c>
      <c r="F14" s="592">
        <v>4</v>
      </c>
      <c r="G14" s="593">
        <f>COMPOSIÇÕES!I69</f>
        <v>347.47339999999997</v>
      </c>
      <c r="H14" s="589"/>
      <c r="I14" s="594">
        <f>ROUND(G14*(1+I$6),2)</f>
        <v>434.34</v>
      </c>
      <c r="J14" s="565">
        <f>ROUND(I14*F14,2)</f>
        <v>1737.36</v>
      </c>
      <c r="K14" s="291"/>
      <c r="L14" s="292"/>
      <c r="M14" s="292"/>
      <c r="N14" s="292"/>
      <c r="O14" s="292"/>
      <c r="P14" s="292"/>
      <c r="Q14" s="292"/>
      <c r="R14" s="292"/>
      <c r="S14" s="292"/>
      <c r="T14" s="292"/>
      <c r="U14" s="292"/>
      <c r="V14" s="292"/>
      <c r="W14" s="292"/>
      <c r="X14" s="292"/>
      <c r="Y14" s="292"/>
      <c r="Z14" s="292"/>
      <c r="AA14" s="292"/>
      <c r="AB14" s="292"/>
      <c r="AC14" s="292"/>
      <c r="AD14" s="292"/>
      <c r="AE14" s="292"/>
      <c r="AF14" s="292"/>
      <c r="AG14" s="292"/>
      <c r="AH14" s="292"/>
      <c r="AI14" s="292"/>
      <c r="AJ14" s="292"/>
      <c r="AK14" s="292"/>
      <c r="AL14" s="292"/>
      <c r="AM14" s="292"/>
      <c r="AN14" s="292"/>
      <c r="AO14" s="292"/>
      <c r="AP14" s="292"/>
      <c r="AQ14" s="292"/>
      <c r="AR14" s="292"/>
      <c r="AS14" s="292"/>
      <c r="AT14" s="292"/>
      <c r="AU14" s="292"/>
      <c r="AV14" s="292"/>
      <c r="AW14" s="292"/>
      <c r="AX14" s="292"/>
      <c r="AY14" s="292"/>
      <c r="AZ14" s="292"/>
      <c r="BA14" s="292"/>
      <c r="BB14" s="292"/>
      <c r="BC14" s="292"/>
      <c r="BD14" s="292"/>
      <c r="BE14" s="292"/>
      <c r="BF14" s="292"/>
      <c r="BG14" s="292"/>
      <c r="BH14" s="292"/>
      <c r="BI14" s="292"/>
      <c r="BJ14" s="292"/>
      <c r="BK14" s="292"/>
      <c r="BL14" s="292"/>
      <c r="BM14" s="292"/>
      <c r="BN14" s="292"/>
      <c r="BO14" s="292"/>
      <c r="BP14" s="292"/>
      <c r="BQ14" s="292"/>
      <c r="BR14" s="292"/>
      <c r="BS14" s="292"/>
      <c r="BT14" s="292"/>
      <c r="BU14" s="292"/>
      <c r="BV14" s="292"/>
      <c r="BW14" s="292"/>
      <c r="BX14" s="292"/>
      <c r="BY14" s="292"/>
      <c r="BZ14" s="292"/>
      <c r="CA14" s="292"/>
      <c r="CB14" s="292"/>
      <c r="CC14" s="292"/>
      <c r="CD14" s="292"/>
      <c r="CE14" s="292"/>
      <c r="CF14" s="292"/>
      <c r="CG14" s="292"/>
      <c r="CH14" s="292"/>
      <c r="CI14" s="292"/>
      <c r="CJ14" s="292"/>
      <c r="CK14" s="292"/>
      <c r="CL14" s="292"/>
      <c r="CM14" s="292"/>
      <c r="CN14" s="292"/>
      <c r="CO14" s="292"/>
      <c r="CP14" s="292"/>
      <c r="CQ14" s="292"/>
      <c r="CR14" s="292"/>
      <c r="CS14" s="292"/>
      <c r="CT14" s="292"/>
      <c r="CU14" s="292"/>
      <c r="CV14" s="292"/>
      <c r="CW14" s="292"/>
      <c r="CX14" s="292"/>
      <c r="CY14" s="292"/>
      <c r="CZ14" s="292"/>
      <c r="DA14" s="292"/>
      <c r="DB14" s="292"/>
      <c r="DC14" s="292"/>
      <c r="DD14" s="292"/>
      <c r="DE14" s="292"/>
      <c r="DF14" s="292"/>
      <c r="DG14" s="292"/>
      <c r="DH14" s="292"/>
      <c r="DI14" s="292"/>
      <c r="DJ14" s="292"/>
      <c r="DK14" s="292"/>
      <c r="DL14" s="292"/>
      <c r="DM14" s="292"/>
      <c r="DN14" s="292"/>
      <c r="DO14" s="292"/>
      <c r="DP14" s="292"/>
      <c r="DQ14" s="292"/>
      <c r="DR14" s="292"/>
      <c r="DS14" s="292"/>
      <c r="DT14" s="292"/>
      <c r="DU14" s="292"/>
      <c r="DV14" s="292"/>
      <c r="DW14" s="292"/>
      <c r="DX14" s="292"/>
      <c r="DY14" s="292"/>
      <c r="DZ14" s="292"/>
      <c r="EA14" s="292"/>
      <c r="EB14" s="292"/>
      <c r="EC14" s="292"/>
      <c r="ED14" s="292"/>
      <c r="EE14" s="292"/>
      <c r="EF14" s="292"/>
      <c r="EG14" s="292"/>
      <c r="EH14" s="292"/>
      <c r="EI14" s="292"/>
      <c r="EJ14" s="292"/>
      <c r="EK14" s="292"/>
      <c r="EL14" s="292"/>
      <c r="EM14" s="292"/>
      <c r="EN14" s="292"/>
      <c r="EO14" s="292"/>
      <c r="EP14" s="292"/>
      <c r="EQ14" s="292"/>
      <c r="ER14" s="292"/>
      <c r="ES14" s="292"/>
      <c r="ET14" s="292"/>
      <c r="EU14" s="292"/>
      <c r="EV14" s="292"/>
      <c r="EW14" s="292"/>
      <c r="EX14" s="292"/>
      <c r="EY14" s="292"/>
      <c r="EZ14" s="292"/>
      <c r="FA14" s="292"/>
      <c r="FB14" s="292"/>
      <c r="FC14" s="292"/>
      <c r="FD14" s="292"/>
      <c r="FE14" s="292"/>
      <c r="FF14" s="292"/>
      <c r="FG14" s="292"/>
      <c r="FH14" s="292"/>
      <c r="FI14" s="292"/>
      <c r="FJ14" s="292"/>
      <c r="FK14" s="292"/>
      <c r="FL14" s="292"/>
      <c r="FM14" s="292"/>
      <c r="FN14" s="292"/>
      <c r="FO14" s="292"/>
      <c r="FP14" s="292"/>
      <c r="FQ14" s="292"/>
      <c r="FR14" s="292"/>
      <c r="FS14" s="292"/>
      <c r="FT14" s="292"/>
      <c r="FU14" s="292"/>
      <c r="FV14" s="292"/>
      <c r="FW14" s="292"/>
      <c r="FX14" s="292"/>
      <c r="FY14" s="292"/>
      <c r="FZ14" s="292"/>
      <c r="GA14" s="292"/>
      <c r="GB14" s="292"/>
      <c r="GC14" s="292"/>
      <c r="GD14" s="292"/>
      <c r="GE14" s="292"/>
      <c r="GF14" s="292"/>
      <c r="GG14" s="292"/>
      <c r="GH14" s="292"/>
      <c r="GI14" s="292"/>
      <c r="GJ14" s="292"/>
      <c r="GK14" s="292"/>
      <c r="GL14" s="292"/>
      <c r="GM14" s="292"/>
      <c r="GN14" s="292"/>
      <c r="GO14" s="292"/>
      <c r="GP14" s="292"/>
      <c r="GQ14" s="292"/>
      <c r="GR14" s="292"/>
      <c r="GS14" s="292"/>
      <c r="GT14" s="292"/>
      <c r="GU14" s="292"/>
      <c r="GV14" s="292"/>
      <c r="GW14" s="292"/>
      <c r="GX14" s="292"/>
      <c r="GY14" s="292"/>
      <c r="GZ14" s="292"/>
      <c r="HA14" s="292"/>
      <c r="HB14" s="292"/>
      <c r="HC14" s="292"/>
      <c r="HD14" s="292"/>
      <c r="HE14" s="292"/>
      <c r="HF14" s="292"/>
      <c r="HG14" s="292"/>
      <c r="HH14" s="292"/>
      <c r="HI14" s="292"/>
      <c r="HJ14" s="292"/>
      <c r="HK14" s="292"/>
      <c r="HL14" s="292"/>
      <c r="HM14" s="292"/>
      <c r="HN14" s="292"/>
      <c r="HO14" s="292"/>
      <c r="HP14" s="292"/>
      <c r="HQ14" s="292"/>
      <c r="HR14" s="292"/>
      <c r="HS14" s="292"/>
      <c r="HT14" s="292"/>
      <c r="HU14" s="292"/>
      <c r="HV14" s="292"/>
      <c r="HW14" s="292"/>
      <c r="HX14" s="292"/>
      <c r="HY14" s="292"/>
      <c r="HZ14" s="292"/>
      <c r="IA14" s="292"/>
      <c r="IB14" s="292"/>
      <c r="IC14" s="292"/>
      <c r="ID14" s="292"/>
      <c r="IE14" s="292"/>
      <c r="IF14" s="292"/>
      <c r="IG14" s="292"/>
      <c r="IH14" s="292"/>
      <c r="II14" s="292"/>
      <c r="IJ14" s="292"/>
      <c r="IK14" s="292"/>
      <c r="IL14" s="292"/>
      <c r="IM14" s="292"/>
      <c r="IN14" s="292"/>
      <c r="IO14" s="292"/>
      <c r="IP14" s="292"/>
      <c r="IQ14" s="292"/>
      <c r="IR14" s="292"/>
      <c r="IS14" s="292"/>
      <c r="IT14" s="292"/>
      <c r="IU14" s="292"/>
      <c r="IV14" s="292"/>
    </row>
    <row r="15" spans="1:18" s="228" customFormat="1" ht="15" customHeight="1" thickBot="1">
      <c r="A15" s="595"/>
      <c r="B15" s="596"/>
      <c r="C15" s="597" t="s">
        <v>4</v>
      </c>
      <c r="D15" s="598"/>
      <c r="E15" s="598"/>
      <c r="F15" s="512"/>
      <c r="G15" s="513"/>
      <c r="H15" s="560"/>
      <c r="I15" s="560"/>
      <c r="J15" s="514">
        <f>SUM(J13:J14)</f>
        <v>4474.44</v>
      </c>
      <c r="K15" s="235"/>
      <c r="L15" s="266" t="e">
        <f>#REF!*N15</f>
        <v>#REF!</v>
      </c>
      <c r="N15" s="267"/>
      <c r="O15" s="268"/>
      <c r="Q15" s="269"/>
      <c r="R15" s="270"/>
    </row>
    <row r="16" spans="1:18" s="228" customFormat="1" ht="10.5" customHeight="1" thickBot="1">
      <c r="A16" s="274"/>
      <c r="B16" s="275"/>
      <c r="C16" s="422"/>
      <c r="D16" s="276"/>
      <c r="E16" s="276"/>
      <c r="F16" s="374"/>
      <c r="G16" s="288"/>
      <c r="H16" s="277"/>
      <c r="I16" s="277"/>
      <c r="J16" s="362"/>
      <c r="K16" s="235"/>
      <c r="L16" s="266"/>
      <c r="N16" s="268"/>
      <c r="O16" s="268"/>
      <c r="Q16" s="269"/>
      <c r="R16" s="270"/>
    </row>
    <row r="17" spans="1:23" ht="18" customHeight="1" thickBot="1">
      <c r="A17" s="425" t="s">
        <v>12</v>
      </c>
      <c r="B17" s="426"/>
      <c r="C17" s="427" t="s">
        <v>348</v>
      </c>
      <c r="D17" s="428"/>
      <c r="E17" s="428"/>
      <c r="F17" s="431"/>
      <c r="G17" s="431"/>
      <c r="H17" s="431"/>
      <c r="I17" s="431"/>
      <c r="J17" s="541"/>
      <c r="K17" s="236"/>
      <c r="L17"/>
      <c r="M17" s="521"/>
      <c r="N17"/>
      <c r="O17" s="522"/>
      <c r="P17" s="522"/>
      <c r="Q17" s="523"/>
      <c r="R17" s="9"/>
      <c r="S17" s="524"/>
      <c r="T17" s="525"/>
      <c r="U17" s="9" t="s">
        <v>349</v>
      </c>
      <c r="V17" s="14" t="s">
        <v>350</v>
      </c>
      <c r="W17" s="18" t="s">
        <v>110</v>
      </c>
    </row>
    <row r="18" spans="1:23" ht="27" customHeight="1">
      <c r="A18" s="526" t="s">
        <v>351</v>
      </c>
      <c r="B18" s="527">
        <v>90778</v>
      </c>
      <c r="C18" s="528" t="s">
        <v>352</v>
      </c>
      <c r="D18" s="529"/>
      <c r="E18" s="530" t="s">
        <v>110</v>
      </c>
      <c r="F18" s="531">
        <v>50</v>
      </c>
      <c r="G18" s="532">
        <v>81.51</v>
      </c>
      <c r="H18" s="532">
        <f>SUM(F18*G18)</f>
        <v>4075.5000000000005</v>
      </c>
      <c r="I18" s="532">
        <f>ROUND(G18*(1+I$5),2)</f>
        <v>81.51</v>
      </c>
      <c r="J18" s="533">
        <f>ROUND(I18*F18,2)</f>
        <v>4075.5</v>
      </c>
      <c r="K18" s="234"/>
      <c r="L18"/>
      <c r="M18" s="521">
        <v>33</v>
      </c>
      <c r="N18"/>
      <c r="O18" s="522"/>
      <c r="P18" s="522"/>
      <c r="Q18" s="523"/>
      <c r="R18" s="9"/>
      <c r="S18" s="524"/>
      <c r="T18" s="525"/>
      <c r="U18" s="9">
        <v>4</v>
      </c>
      <c r="V18" s="14">
        <v>11</v>
      </c>
      <c r="W18" s="14">
        <v>1</v>
      </c>
    </row>
    <row r="19" spans="1:23" ht="21.75" customHeight="1">
      <c r="A19" s="534" t="s">
        <v>353</v>
      </c>
      <c r="B19" s="535">
        <v>90780</v>
      </c>
      <c r="C19" s="520" t="s">
        <v>354</v>
      </c>
      <c r="D19" s="536"/>
      <c r="E19" s="537" t="s">
        <v>110</v>
      </c>
      <c r="F19" s="531">
        <v>100</v>
      </c>
      <c r="G19" s="538">
        <v>28.42</v>
      </c>
      <c r="H19" s="538"/>
      <c r="I19" s="538">
        <f>ROUND(G19*(1+I$5),2)</f>
        <v>28.42</v>
      </c>
      <c r="J19" s="533">
        <f>ROUND(I19*F19,2)</f>
        <v>2842</v>
      </c>
      <c r="K19" s="234"/>
      <c r="L19"/>
      <c r="M19" s="521">
        <v>66</v>
      </c>
      <c r="N19"/>
      <c r="O19" s="522"/>
      <c r="P19" s="522"/>
      <c r="Q19" s="523"/>
      <c r="R19" s="9"/>
      <c r="S19" s="524"/>
      <c r="T19" s="525"/>
      <c r="U19" s="9">
        <v>4</v>
      </c>
      <c r="V19" s="14">
        <v>22</v>
      </c>
      <c r="W19" s="14">
        <v>1</v>
      </c>
    </row>
    <row r="20" spans="1:23" ht="18" customHeight="1">
      <c r="A20" s="534" t="s">
        <v>355</v>
      </c>
      <c r="B20" s="539">
        <v>88326</v>
      </c>
      <c r="C20" s="540" t="s">
        <v>356</v>
      </c>
      <c r="D20" s="535"/>
      <c r="E20" s="537" t="s">
        <v>110</v>
      </c>
      <c r="F20" s="531">
        <v>360</v>
      </c>
      <c r="G20" s="538">
        <v>14.74</v>
      </c>
      <c r="H20" s="538"/>
      <c r="I20" s="538">
        <f>ROUND(G20*(1+I$5),2)</f>
        <v>14.74</v>
      </c>
      <c r="J20" s="533">
        <f>ROUND(I20*F20,2)</f>
        <v>5306.4</v>
      </c>
      <c r="K20" s="234"/>
      <c r="L20"/>
      <c r="M20" s="521">
        <v>270</v>
      </c>
      <c r="N20"/>
      <c r="O20" s="522"/>
      <c r="P20" s="522"/>
      <c r="Q20" s="523"/>
      <c r="R20" s="9"/>
      <c r="S20" s="524"/>
      <c r="T20" s="525"/>
      <c r="U20" s="9">
        <v>4</v>
      </c>
      <c r="V20" s="14">
        <v>30</v>
      </c>
      <c r="W20" s="14">
        <v>3</v>
      </c>
    </row>
    <row r="21" spans="1:23" ht="12.75">
      <c r="A21" s="534" t="s">
        <v>357</v>
      </c>
      <c r="B21" s="539">
        <v>90781</v>
      </c>
      <c r="C21" s="540" t="s">
        <v>358</v>
      </c>
      <c r="D21" s="535"/>
      <c r="E21" s="537" t="s">
        <v>110</v>
      </c>
      <c r="F21" s="531">
        <v>30</v>
      </c>
      <c r="G21" s="538">
        <v>21.5</v>
      </c>
      <c r="H21" s="538"/>
      <c r="I21" s="538">
        <f>ROUND(G21*(1+I$5),2)</f>
        <v>21.5</v>
      </c>
      <c r="J21" s="533">
        <f>ROUND(I21*F21,2)</f>
        <v>645</v>
      </c>
      <c r="K21" s="234"/>
      <c r="L21"/>
      <c r="M21" s="521">
        <v>33</v>
      </c>
      <c r="N21"/>
      <c r="O21" s="522"/>
      <c r="P21" s="522"/>
      <c r="Q21" s="523"/>
      <c r="R21" s="9"/>
      <c r="S21" s="524"/>
      <c r="T21" s="525"/>
      <c r="U21" s="9">
        <v>4</v>
      </c>
      <c r="V21" s="14">
        <v>11</v>
      </c>
      <c r="W21" s="14">
        <v>1</v>
      </c>
    </row>
    <row r="22" spans="1:23" ht="26.25" thickBot="1">
      <c r="A22" s="575" t="s">
        <v>359</v>
      </c>
      <c r="B22" s="576">
        <v>88253</v>
      </c>
      <c r="C22" s="577" t="s">
        <v>360</v>
      </c>
      <c r="D22" s="578"/>
      <c r="E22" s="579" t="s">
        <v>110</v>
      </c>
      <c r="F22" s="580">
        <v>30</v>
      </c>
      <c r="G22" s="581">
        <v>11.84</v>
      </c>
      <c r="H22" s="581"/>
      <c r="I22" s="581">
        <f>ROUND(G22*(1+I$5),2)</f>
        <v>11.84</v>
      </c>
      <c r="J22" s="582">
        <f>ROUND(I22*F22,2)</f>
        <v>355.2</v>
      </c>
      <c r="K22" s="234"/>
      <c r="L22"/>
      <c r="M22" s="521">
        <v>33</v>
      </c>
      <c r="N22"/>
      <c r="O22" s="522"/>
      <c r="P22" s="522"/>
      <c r="Q22" s="523"/>
      <c r="R22" s="9"/>
      <c r="S22" s="524"/>
      <c r="T22" s="525"/>
      <c r="U22" s="9">
        <v>4</v>
      </c>
      <c r="V22" s="14">
        <v>11</v>
      </c>
      <c r="W22" s="14">
        <v>1</v>
      </c>
    </row>
    <row r="23" spans="1:23" ht="13.5" thickBot="1">
      <c r="A23" s="583"/>
      <c r="B23" s="584"/>
      <c r="C23" s="585" t="s">
        <v>4</v>
      </c>
      <c r="D23" s="586"/>
      <c r="E23" s="586"/>
      <c r="F23" s="587"/>
      <c r="G23" s="587"/>
      <c r="H23" s="587"/>
      <c r="I23" s="587"/>
      <c r="J23" s="588">
        <f>SUM(J18:J22)</f>
        <v>13224.1</v>
      </c>
      <c r="K23" s="235"/>
      <c r="L23"/>
      <c r="M23" s="521"/>
      <c r="N23"/>
      <c r="O23" s="522"/>
      <c r="P23" s="522"/>
      <c r="Q23" s="523"/>
      <c r="R23" s="9"/>
      <c r="S23" s="524"/>
      <c r="T23" s="525"/>
      <c r="V23" s="14"/>
      <c r="W23" s="18"/>
    </row>
    <row r="24" spans="1:18" s="228" customFormat="1" ht="12" customHeight="1" thickBot="1">
      <c r="A24" s="274"/>
      <c r="B24" s="275"/>
      <c r="C24" s="422"/>
      <c r="D24" s="276"/>
      <c r="E24" s="276"/>
      <c r="F24" s="374"/>
      <c r="G24" s="288"/>
      <c r="H24" s="277"/>
      <c r="I24" s="277"/>
      <c r="J24" s="362"/>
      <c r="K24" s="235"/>
      <c r="L24" s="266"/>
      <c r="N24" s="268"/>
      <c r="O24" s="268"/>
      <c r="Q24" s="269"/>
      <c r="R24" s="270"/>
    </row>
    <row r="25" spans="1:18" s="228" customFormat="1" ht="13.5" thickBot="1">
      <c r="A25" s="434"/>
      <c r="B25" s="435"/>
      <c r="C25" s="436" t="s">
        <v>28</v>
      </c>
      <c r="D25" s="437"/>
      <c r="E25" s="435"/>
      <c r="F25" s="438"/>
      <c r="G25" s="439"/>
      <c r="H25" s="440"/>
      <c r="I25" s="441"/>
      <c r="J25" s="442"/>
      <c r="K25" s="235"/>
      <c r="N25" s="294"/>
      <c r="O25" s="294"/>
      <c r="Q25" s="270"/>
      <c r="R25" s="270"/>
    </row>
    <row r="26" spans="1:18" s="228" customFormat="1" ht="13.5" thickBot="1">
      <c r="A26" s="425" t="s">
        <v>13</v>
      </c>
      <c r="B26" s="426"/>
      <c r="C26" s="427" t="s">
        <v>126</v>
      </c>
      <c r="D26" s="428"/>
      <c r="E26" s="443"/>
      <c r="F26" s="429"/>
      <c r="G26" s="430"/>
      <c r="H26" s="431"/>
      <c r="I26" s="433"/>
      <c r="J26" s="432"/>
      <c r="K26" s="236"/>
      <c r="N26" s="269"/>
      <c r="O26" s="269"/>
      <c r="Q26" s="270"/>
      <c r="R26" s="270"/>
    </row>
    <row r="27" spans="1:18" s="228" customFormat="1" ht="13.5" thickBot="1">
      <c r="A27" s="425" t="s">
        <v>297</v>
      </c>
      <c r="B27" s="426"/>
      <c r="C27" s="427" t="s">
        <v>260</v>
      </c>
      <c r="D27" s="428"/>
      <c r="E27" s="443"/>
      <c r="F27" s="429"/>
      <c r="G27" s="430"/>
      <c r="H27" s="431"/>
      <c r="I27" s="433"/>
      <c r="J27" s="432"/>
      <c r="K27" s="236"/>
      <c r="N27" s="269"/>
      <c r="O27" s="269"/>
      <c r="Q27" s="270"/>
      <c r="R27" s="270"/>
    </row>
    <row r="28" spans="1:24" s="228" customFormat="1" ht="38.25">
      <c r="A28" s="317" t="s">
        <v>298</v>
      </c>
      <c r="B28" s="321" t="s">
        <v>33</v>
      </c>
      <c r="C28" s="345" t="s">
        <v>127</v>
      </c>
      <c r="D28" s="321"/>
      <c r="E28" s="321" t="s">
        <v>31</v>
      </c>
      <c r="F28" s="373">
        <f>'PAV. TSD'!H8</f>
        <v>0</v>
      </c>
      <c r="G28" s="286">
        <v>1.27</v>
      </c>
      <c r="H28" s="272">
        <f aca="true" t="shared" si="0" ref="H28:H47">SUM(F28*G28)</f>
        <v>0</v>
      </c>
      <c r="I28" s="272">
        <f>ROUND(G28*(1+I$6),2)</f>
        <v>1.59</v>
      </c>
      <c r="J28" s="361">
        <f>ROUND(I28*F28,2)</f>
        <v>0</v>
      </c>
      <c r="K28" s="234"/>
      <c r="L28" s="266" t="e">
        <f>#REF!*N28</f>
        <v>#REF!</v>
      </c>
      <c r="N28" s="295">
        <v>1.27</v>
      </c>
      <c r="O28" s="295"/>
      <c r="Q28" s="270"/>
      <c r="R28" s="296"/>
      <c r="S28" s="346"/>
      <c r="T28" s="347"/>
      <c r="U28" s="346"/>
      <c r="V28" s="347"/>
      <c r="W28" s="347"/>
      <c r="X28" s="347"/>
    </row>
    <row r="29" spans="1:24" s="228" customFormat="1" ht="51">
      <c r="A29" s="317" t="s">
        <v>299</v>
      </c>
      <c r="B29" s="81" t="s">
        <v>104</v>
      </c>
      <c r="C29" s="273" t="s">
        <v>122</v>
      </c>
      <c r="D29" s="81"/>
      <c r="E29" s="81" t="s">
        <v>31</v>
      </c>
      <c r="F29" s="372">
        <f>'PAV. TSD'!H11</f>
        <v>0</v>
      </c>
      <c r="G29" s="287">
        <v>1.37</v>
      </c>
      <c r="H29" s="242">
        <f t="shared" si="0"/>
        <v>0</v>
      </c>
      <c r="I29" s="242">
        <f>ROUND(G29*(1+I$6),2)</f>
        <v>1.71</v>
      </c>
      <c r="J29" s="361">
        <f aca="true" t="shared" si="1" ref="J29:J35">ROUND(I29*F29,2)</f>
        <v>0</v>
      </c>
      <c r="K29" s="234"/>
      <c r="L29" s="266" t="e">
        <f>#REF!*N29</f>
        <v>#REF!</v>
      </c>
      <c r="N29" s="295">
        <v>0.43</v>
      </c>
      <c r="O29" s="295"/>
      <c r="Q29" s="270"/>
      <c r="R29" s="296"/>
      <c r="S29" s="346"/>
      <c r="T29" s="346"/>
      <c r="U29" s="346"/>
      <c r="V29" s="346"/>
      <c r="W29" s="348"/>
      <c r="X29" s="346"/>
    </row>
    <row r="30" spans="1:24" s="228" customFormat="1" ht="26.25" thickBot="1">
      <c r="A30" s="317" t="s">
        <v>300</v>
      </c>
      <c r="B30" s="81">
        <v>95875</v>
      </c>
      <c r="C30" s="349" t="s">
        <v>123</v>
      </c>
      <c r="D30" s="81">
        <v>5</v>
      </c>
      <c r="E30" s="81" t="s">
        <v>124</v>
      </c>
      <c r="F30" s="372">
        <f>F29*D30</f>
        <v>0</v>
      </c>
      <c r="G30" s="287">
        <v>0.98</v>
      </c>
      <c r="H30" s="242">
        <f t="shared" si="0"/>
        <v>0</v>
      </c>
      <c r="I30" s="242">
        <f>ROUND(G30*(1+I$6),2)</f>
        <v>1.23</v>
      </c>
      <c r="J30" s="361">
        <f t="shared" si="1"/>
        <v>0</v>
      </c>
      <c r="K30" s="234"/>
      <c r="L30" s="266" t="e">
        <f>#REF!*N30</f>
        <v>#REF!</v>
      </c>
      <c r="N30" s="295">
        <v>0.41</v>
      </c>
      <c r="O30" s="295"/>
      <c r="Q30" s="270"/>
      <c r="R30" s="296"/>
      <c r="S30" s="297"/>
      <c r="T30" s="297"/>
      <c r="X30" s="297"/>
    </row>
    <row r="31" spans="1:24" s="228" customFormat="1" ht="13.5" thickBot="1">
      <c r="A31" s="425" t="s">
        <v>301</v>
      </c>
      <c r="B31" s="426"/>
      <c r="C31" s="427" t="s">
        <v>256</v>
      </c>
      <c r="D31" s="428"/>
      <c r="E31" s="443"/>
      <c r="F31" s="429"/>
      <c r="G31" s="430"/>
      <c r="H31" s="431"/>
      <c r="I31" s="433"/>
      <c r="J31" s="432"/>
      <c r="K31" s="234"/>
      <c r="L31" s="266"/>
      <c r="N31" s="295"/>
      <c r="O31" s="295"/>
      <c r="Q31" s="270"/>
      <c r="R31" s="296"/>
      <c r="S31" s="297"/>
      <c r="T31" s="297"/>
      <c r="X31" s="297"/>
    </row>
    <row r="32" spans="1:24" s="228" customFormat="1" ht="38.25">
      <c r="A32" s="317" t="s">
        <v>302</v>
      </c>
      <c r="B32" s="321" t="s">
        <v>33</v>
      </c>
      <c r="C32" s="345" t="s">
        <v>127</v>
      </c>
      <c r="D32" s="321"/>
      <c r="E32" s="321" t="s">
        <v>31</v>
      </c>
      <c r="F32" s="373">
        <f>'PAV. TSD'!H13</f>
        <v>0</v>
      </c>
      <c r="G32" s="286">
        <v>1.27</v>
      </c>
      <c r="H32" s="272">
        <f>SUM(F32*G32)</f>
        <v>0</v>
      </c>
      <c r="I32" s="272">
        <f>ROUND(G32*(1+I$6),2)</f>
        <v>1.59</v>
      </c>
      <c r="J32" s="361">
        <f t="shared" si="1"/>
        <v>0</v>
      </c>
      <c r="K32" s="234"/>
      <c r="L32" s="266"/>
      <c r="N32" s="295"/>
      <c r="O32" s="295"/>
      <c r="Q32" s="270"/>
      <c r="R32" s="296"/>
      <c r="S32" s="297"/>
      <c r="T32" s="297"/>
      <c r="X32" s="297"/>
    </row>
    <row r="33" spans="1:24" s="228" customFormat="1" ht="51">
      <c r="A33" s="317" t="s">
        <v>303</v>
      </c>
      <c r="B33" s="81" t="s">
        <v>104</v>
      </c>
      <c r="C33" s="273" t="s">
        <v>122</v>
      </c>
      <c r="D33" s="81"/>
      <c r="E33" s="81" t="s">
        <v>31</v>
      </c>
      <c r="F33" s="372">
        <f>'PAV. TSD'!H15</f>
        <v>0</v>
      </c>
      <c r="G33" s="287">
        <v>1.37</v>
      </c>
      <c r="H33" s="242">
        <f>SUM(F33*G33)</f>
        <v>0</v>
      </c>
      <c r="I33" s="242">
        <f>ROUND(G33*(1+I$6),2)</f>
        <v>1.71</v>
      </c>
      <c r="J33" s="361">
        <f t="shared" si="1"/>
        <v>0</v>
      </c>
      <c r="K33" s="234"/>
      <c r="L33" s="266"/>
      <c r="N33" s="295"/>
      <c r="O33" s="295"/>
      <c r="Q33" s="270"/>
      <c r="R33" s="296"/>
      <c r="S33" s="297"/>
      <c r="T33" s="297"/>
      <c r="X33" s="297"/>
    </row>
    <row r="34" spans="1:24" s="228" customFormat="1" ht="25.5">
      <c r="A34" s="317" t="s">
        <v>304</v>
      </c>
      <c r="B34" s="81">
        <v>95875</v>
      </c>
      <c r="C34" s="349" t="s">
        <v>123</v>
      </c>
      <c r="D34" s="81">
        <v>5</v>
      </c>
      <c r="E34" s="81" t="s">
        <v>124</v>
      </c>
      <c r="F34" s="372">
        <f>F33*D34</f>
        <v>0</v>
      </c>
      <c r="G34" s="287">
        <v>0.98</v>
      </c>
      <c r="H34" s="242">
        <f>SUM(F34*G34)</f>
        <v>0</v>
      </c>
      <c r="I34" s="242">
        <f>ROUND(G34*(1+I$6),2)</f>
        <v>1.23</v>
      </c>
      <c r="J34" s="361">
        <f t="shared" si="1"/>
        <v>0</v>
      </c>
      <c r="K34" s="234"/>
      <c r="L34" s="266"/>
      <c r="N34" s="295"/>
      <c r="O34" s="295"/>
      <c r="Q34" s="270"/>
      <c r="R34" s="296"/>
      <c r="S34" s="297"/>
      <c r="T34" s="297"/>
      <c r="X34" s="297"/>
    </row>
    <row r="35" spans="1:24" s="228" customFormat="1" ht="39" thickBot="1">
      <c r="A35" s="562" t="s">
        <v>305</v>
      </c>
      <c r="B35" s="298">
        <v>96386</v>
      </c>
      <c r="C35" s="350" t="s">
        <v>255</v>
      </c>
      <c r="D35" s="298"/>
      <c r="E35" s="298" t="s">
        <v>31</v>
      </c>
      <c r="F35" s="375">
        <f>'PAV. TSD'!H13</f>
        <v>0</v>
      </c>
      <c r="G35" s="300">
        <v>4.43</v>
      </c>
      <c r="H35" s="299"/>
      <c r="I35" s="299">
        <f>ROUND(G35*(1+I$6),2)</f>
        <v>5.54</v>
      </c>
      <c r="J35" s="565">
        <f t="shared" si="1"/>
        <v>0</v>
      </c>
      <c r="K35" s="234"/>
      <c r="L35" s="266"/>
      <c r="N35" s="295"/>
      <c r="O35" s="295"/>
      <c r="Q35" s="270"/>
      <c r="R35" s="296"/>
      <c r="S35" s="297"/>
      <c r="T35" s="297"/>
      <c r="X35" s="297"/>
    </row>
    <row r="36" spans="1:24" s="228" customFormat="1" ht="13.5" thickBot="1">
      <c r="A36" s="553"/>
      <c r="B36" s="511"/>
      <c r="C36" s="572" t="s">
        <v>4</v>
      </c>
      <c r="D36" s="511"/>
      <c r="E36" s="511"/>
      <c r="F36" s="573"/>
      <c r="G36" s="574"/>
      <c r="H36" s="571"/>
      <c r="I36" s="571"/>
      <c r="J36" s="514">
        <f>SUM(J27:J35)</f>
        <v>0</v>
      </c>
      <c r="K36" s="235"/>
      <c r="L36" s="266"/>
      <c r="N36" s="295"/>
      <c r="O36" s="295"/>
      <c r="Q36" s="270"/>
      <c r="R36" s="296"/>
      <c r="S36" s="297"/>
      <c r="T36" s="297"/>
      <c r="X36" s="297"/>
    </row>
    <row r="37" spans="1:24" s="228" customFormat="1" ht="13.5" thickBot="1">
      <c r="A37" s="396"/>
      <c r="B37" s="444"/>
      <c r="C37" s="445"/>
      <c r="D37" s="444"/>
      <c r="E37" s="444"/>
      <c r="F37" s="446"/>
      <c r="G37" s="447"/>
      <c r="H37" s="448"/>
      <c r="I37" s="448"/>
      <c r="J37" s="362"/>
      <c r="K37" s="235"/>
      <c r="L37" s="266"/>
      <c r="N37" s="295"/>
      <c r="O37" s="295"/>
      <c r="Q37" s="270"/>
      <c r="R37" s="296"/>
      <c r="S37" s="297"/>
      <c r="T37" s="297"/>
      <c r="X37" s="297"/>
    </row>
    <row r="38" spans="1:24" s="228" customFormat="1" ht="14.25" customHeight="1" thickBot="1">
      <c r="A38" s="425" t="s">
        <v>8</v>
      </c>
      <c r="B38" s="426"/>
      <c r="C38" s="427" t="s">
        <v>128</v>
      </c>
      <c r="D38" s="428"/>
      <c r="E38" s="443"/>
      <c r="F38" s="429"/>
      <c r="G38" s="430"/>
      <c r="H38" s="431"/>
      <c r="I38" s="433"/>
      <c r="J38" s="432"/>
      <c r="K38" s="236"/>
      <c r="L38" s="266"/>
      <c r="N38" s="295"/>
      <c r="O38" s="295"/>
      <c r="Q38" s="270"/>
      <c r="R38" s="296"/>
      <c r="S38" s="297"/>
      <c r="T38" s="297"/>
      <c r="X38" s="297"/>
    </row>
    <row r="39" spans="1:20" s="228" customFormat="1" ht="24.75" customHeight="1">
      <c r="A39" s="317" t="s">
        <v>9</v>
      </c>
      <c r="B39" s="323">
        <v>100576</v>
      </c>
      <c r="C39" s="345" t="s">
        <v>312</v>
      </c>
      <c r="D39" s="321"/>
      <c r="E39" s="351" t="s">
        <v>19</v>
      </c>
      <c r="F39" s="373">
        <f>'PAV. TSD'!H17</f>
        <v>3898.8400000000006</v>
      </c>
      <c r="G39" s="286">
        <v>1.35</v>
      </c>
      <c r="H39" s="272">
        <f t="shared" si="0"/>
        <v>5263.434000000001</v>
      </c>
      <c r="I39" s="272">
        <f aca="true" t="shared" si="2" ref="I39:I47">ROUND(G39*(1+I$6),2)</f>
        <v>1.69</v>
      </c>
      <c r="J39" s="361">
        <f>ROUND(I39*F39,2)</f>
        <v>6589.04</v>
      </c>
      <c r="K39" s="234"/>
      <c r="L39" s="266" t="e">
        <f>#REF!*N39</f>
        <v>#REF!</v>
      </c>
      <c r="N39" s="295">
        <v>3.59</v>
      </c>
      <c r="O39" s="295"/>
      <c r="Q39" s="270"/>
      <c r="R39" s="296"/>
      <c r="S39" s="297"/>
      <c r="T39" s="297"/>
    </row>
    <row r="40" spans="1:20" s="228" customFormat="1" ht="24.75" customHeight="1">
      <c r="A40" s="317" t="s">
        <v>10</v>
      </c>
      <c r="B40" s="323" t="s">
        <v>33</v>
      </c>
      <c r="C40" s="345" t="s">
        <v>127</v>
      </c>
      <c r="D40" s="321"/>
      <c r="E40" s="352" t="s">
        <v>31</v>
      </c>
      <c r="F40" s="373">
        <f>'PAV. TSD'!H22</f>
        <v>584.8260000000001</v>
      </c>
      <c r="G40" s="286">
        <v>1.27</v>
      </c>
      <c r="H40" s="272"/>
      <c r="I40" s="272">
        <f t="shared" si="2"/>
        <v>1.59</v>
      </c>
      <c r="J40" s="361">
        <f>ROUND(I40*F40,2)</f>
        <v>929.87</v>
      </c>
      <c r="K40" s="234"/>
      <c r="L40" s="266"/>
      <c r="N40" s="295"/>
      <c r="O40" s="295"/>
      <c r="Q40" s="270"/>
      <c r="R40" s="296"/>
      <c r="S40" s="297"/>
      <c r="T40" s="297"/>
    </row>
    <row r="41" spans="1:20" s="228" customFormat="1" ht="51">
      <c r="A41" s="317" t="s">
        <v>11</v>
      </c>
      <c r="B41" s="310" t="s">
        <v>104</v>
      </c>
      <c r="C41" s="273" t="s">
        <v>122</v>
      </c>
      <c r="D41" s="81"/>
      <c r="E41" s="352" t="s">
        <v>31</v>
      </c>
      <c r="F41" s="372">
        <f>'PAV. TSD'!H23</f>
        <v>760.2738000000002</v>
      </c>
      <c r="G41" s="287">
        <v>1.37</v>
      </c>
      <c r="H41" s="242">
        <f t="shared" si="0"/>
        <v>1041.5751060000002</v>
      </c>
      <c r="I41" s="242">
        <f t="shared" si="2"/>
        <v>1.71</v>
      </c>
      <c r="J41" s="361">
        <f aca="true" t="shared" si="3" ref="J41:J47">ROUND(I41*F41,2)</f>
        <v>1300.07</v>
      </c>
      <c r="K41" s="234"/>
      <c r="L41" s="266" t="e">
        <f>#REF!*N41</f>
        <v>#REF!</v>
      </c>
      <c r="N41" s="295">
        <v>0.61</v>
      </c>
      <c r="O41" s="295"/>
      <c r="Q41" s="270"/>
      <c r="R41" s="296"/>
      <c r="T41" s="297"/>
    </row>
    <row r="42" spans="1:18" s="228" customFormat="1" ht="23.25" customHeight="1">
      <c r="A42" s="317" t="s">
        <v>14</v>
      </c>
      <c r="B42" s="310">
        <v>95875</v>
      </c>
      <c r="C42" s="273" t="s">
        <v>313</v>
      </c>
      <c r="D42" s="81">
        <v>5</v>
      </c>
      <c r="E42" s="352" t="s">
        <v>124</v>
      </c>
      <c r="F42" s="372">
        <f>(F39+F40)*D42</f>
        <v>22418.330000000005</v>
      </c>
      <c r="G42" s="287">
        <v>0.98</v>
      </c>
      <c r="H42" s="242">
        <f t="shared" si="0"/>
        <v>21969.963400000004</v>
      </c>
      <c r="I42" s="242">
        <f t="shared" si="2"/>
        <v>1.23</v>
      </c>
      <c r="J42" s="361">
        <f t="shared" si="3"/>
        <v>27574.55</v>
      </c>
      <c r="K42" s="234"/>
      <c r="L42" s="266" t="e">
        <f>#REF!*N42</f>
        <v>#REF!</v>
      </c>
      <c r="N42" s="295">
        <v>1.2</v>
      </c>
      <c r="O42" s="295"/>
      <c r="Q42" s="270"/>
      <c r="R42" s="296"/>
    </row>
    <row r="43" spans="1:18" s="228" customFormat="1" ht="12.75">
      <c r="A43" s="317" t="s">
        <v>269</v>
      </c>
      <c r="B43" s="519">
        <v>4743</v>
      </c>
      <c r="C43" s="520" t="s">
        <v>341</v>
      </c>
      <c r="D43" s="81"/>
      <c r="E43" s="352" t="s">
        <v>31</v>
      </c>
      <c r="F43" s="372">
        <f>'PAV. TSD'!H22</f>
        <v>584.8260000000001</v>
      </c>
      <c r="G43" s="287">
        <v>26.52</v>
      </c>
      <c r="H43" s="242">
        <f t="shared" si="0"/>
        <v>15509.585520000004</v>
      </c>
      <c r="I43" s="242">
        <f t="shared" si="2"/>
        <v>33.15</v>
      </c>
      <c r="J43" s="361">
        <f t="shared" si="3"/>
        <v>19386.98</v>
      </c>
      <c r="K43" s="234"/>
      <c r="L43" s="266" t="e">
        <f>#REF!*N43</f>
        <v>#REF!</v>
      </c>
      <c r="N43" s="295">
        <v>2.62</v>
      </c>
      <c r="O43" s="295"/>
      <c r="Q43" s="270"/>
      <c r="R43" s="296"/>
    </row>
    <row r="44" spans="1:18" s="228" customFormat="1" ht="12.75">
      <c r="A44" s="317" t="s">
        <v>270</v>
      </c>
      <c r="B44" s="310">
        <v>96401</v>
      </c>
      <c r="C44" s="273" t="s">
        <v>129</v>
      </c>
      <c r="D44" s="81"/>
      <c r="E44" s="352" t="s">
        <v>19</v>
      </c>
      <c r="F44" s="372">
        <f>'PAV. TSD'!H25</f>
        <v>3523.4000000000005</v>
      </c>
      <c r="G44" s="287">
        <v>6.53</v>
      </c>
      <c r="H44" s="242">
        <f t="shared" si="0"/>
        <v>23007.802000000003</v>
      </c>
      <c r="I44" s="242">
        <f t="shared" si="2"/>
        <v>8.16</v>
      </c>
      <c r="J44" s="361">
        <f t="shared" si="3"/>
        <v>28750.94</v>
      </c>
      <c r="K44" s="234"/>
      <c r="L44" s="266" t="e">
        <f>#REF!*N44</f>
        <v>#REF!</v>
      </c>
      <c r="N44" s="295">
        <v>0.93</v>
      </c>
      <c r="O44" s="295"/>
      <c r="Q44" s="270"/>
      <c r="R44" s="296"/>
    </row>
    <row r="45" spans="1:18" s="228" customFormat="1" ht="38.25">
      <c r="A45" s="317" t="s">
        <v>271</v>
      </c>
      <c r="B45" s="310">
        <v>97807</v>
      </c>
      <c r="C45" s="273" t="s">
        <v>130</v>
      </c>
      <c r="D45" s="81"/>
      <c r="E45" s="352" t="s">
        <v>19</v>
      </c>
      <c r="F45" s="372">
        <f>'PAV. TSD'!H28</f>
        <v>3523.4000000000005</v>
      </c>
      <c r="G45" s="287">
        <v>15.75</v>
      </c>
      <c r="H45" s="242">
        <f t="shared" si="0"/>
        <v>55493.55000000001</v>
      </c>
      <c r="I45" s="242">
        <f t="shared" si="2"/>
        <v>19.69</v>
      </c>
      <c r="J45" s="361">
        <f t="shared" si="3"/>
        <v>69375.75</v>
      </c>
      <c r="K45" s="234"/>
      <c r="L45" s="266" t="e">
        <f>#REF!*N45</f>
        <v>#REF!</v>
      </c>
      <c r="N45" s="295">
        <v>3.59</v>
      </c>
      <c r="O45" s="295"/>
      <c r="Q45" s="270"/>
      <c r="R45" s="296"/>
    </row>
    <row r="46" spans="1:18" s="228" customFormat="1" ht="12.75">
      <c r="A46" s="317" t="s">
        <v>306</v>
      </c>
      <c r="B46" s="310">
        <v>83356</v>
      </c>
      <c r="C46" s="273" t="s">
        <v>131</v>
      </c>
      <c r="D46" s="81">
        <v>30</v>
      </c>
      <c r="E46" s="352" t="s">
        <v>124</v>
      </c>
      <c r="F46" s="372">
        <f>'PAV. TSD'!H29*ORÇAMENTO!D46</f>
        <v>2378.2950000000005</v>
      </c>
      <c r="G46" s="287">
        <v>0.69</v>
      </c>
      <c r="H46" s="242">
        <f t="shared" si="0"/>
        <v>1641.0235500000003</v>
      </c>
      <c r="I46" s="242">
        <f t="shared" si="2"/>
        <v>0.86</v>
      </c>
      <c r="J46" s="361">
        <f t="shared" si="3"/>
        <v>2045.33</v>
      </c>
      <c r="K46" s="234"/>
      <c r="L46" s="266" t="e">
        <f>#REF!*N46</f>
        <v>#REF!</v>
      </c>
      <c r="N46" s="295">
        <v>0.61</v>
      </c>
      <c r="O46" s="295"/>
      <c r="Q46" s="269"/>
      <c r="R46" s="296"/>
    </row>
    <row r="47" spans="1:18" s="228" customFormat="1" ht="50.25" customHeight="1" thickBot="1">
      <c r="A47" s="396" t="s">
        <v>311</v>
      </c>
      <c r="B47" s="566">
        <v>93177</v>
      </c>
      <c r="C47" s="567" t="s">
        <v>132</v>
      </c>
      <c r="D47" s="298">
        <v>80</v>
      </c>
      <c r="E47" s="568" t="s">
        <v>125</v>
      </c>
      <c r="F47" s="375">
        <f>'PAV. TSD'!H30*ORÇAMENTO!D47</f>
        <v>873.8032</v>
      </c>
      <c r="G47" s="300">
        <v>1.75</v>
      </c>
      <c r="H47" s="299">
        <f t="shared" si="0"/>
        <v>1529.1555999999998</v>
      </c>
      <c r="I47" s="299">
        <f t="shared" si="2"/>
        <v>2.19</v>
      </c>
      <c r="J47" s="569">
        <f t="shared" si="3"/>
        <v>1913.63</v>
      </c>
      <c r="K47" s="234"/>
      <c r="L47" s="266" t="e">
        <f>#REF!*N47</f>
        <v>#REF!</v>
      </c>
      <c r="N47" s="295">
        <v>6.84</v>
      </c>
      <c r="O47" s="295"/>
      <c r="Q47" s="270"/>
      <c r="R47" s="296"/>
    </row>
    <row r="48" spans="1:18" s="228" customFormat="1" ht="13.5" thickBot="1">
      <c r="A48" s="570"/>
      <c r="B48" s="509"/>
      <c r="C48" s="510" t="s">
        <v>4</v>
      </c>
      <c r="D48" s="511"/>
      <c r="E48" s="511"/>
      <c r="F48" s="512"/>
      <c r="G48" s="513"/>
      <c r="H48" s="560">
        <f>SUM(H28:H47)</f>
        <v>125456.08917600002</v>
      </c>
      <c r="I48" s="571"/>
      <c r="J48" s="514">
        <f>SUM(J39:J47)</f>
        <v>157866.16</v>
      </c>
      <c r="K48" s="235"/>
      <c r="L48" s="266" t="e">
        <f>#REF!*N48</f>
        <v>#REF!</v>
      </c>
      <c r="N48" s="295"/>
      <c r="O48" s="295"/>
      <c r="Q48" s="270"/>
      <c r="R48" s="257"/>
    </row>
    <row r="49" spans="1:18" s="228" customFormat="1" ht="13.5" thickBot="1">
      <c r="A49" s="449"/>
      <c r="B49" s="340"/>
      <c r="C49" s="450"/>
      <c r="D49" s="444"/>
      <c r="E49" s="444"/>
      <c r="F49" s="374"/>
      <c r="G49" s="288"/>
      <c r="H49" s="277"/>
      <c r="I49" s="448"/>
      <c r="J49" s="362"/>
      <c r="K49" s="235"/>
      <c r="L49" s="266"/>
      <c r="N49" s="295"/>
      <c r="O49" s="295"/>
      <c r="Q49" s="270"/>
      <c r="R49" s="257"/>
    </row>
    <row r="50" spans="1:18" s="228" customFormat="1" ht="13.5" thickBot="1">
      <c r="A50" s="451" t="s">
        <v>29</v>
      </c>
      <c r="B50" s="452"/>
      <c r="C50" s="453" t="s">
        <v>30</v>
      </c>
      <c r="D50" s="454"/>
      <c r="E50" s="454"/>
      <c r="F50" s="455"/>
      <c r="G50" s="456"/>
      <c r="H50" s="457"/>
      <c r="I50" s="457"/>
      <c r="J50" s="458"/>
      <c r="K50" s="234"/>
      <c r="L50" s="266" t="e">
        <f>#REF!*N50</f>
        <v>#REF!</v>
      </c>
      <c r="N50" s="303"/>
      <c r="O50" s="303"/>
      <c r="Q50" s="270"/>
      <c r="R50" s="270"/>
    </row>
    <row r="51" spans="1:18" s="228" customFormat="1" ht="44.25" customHeight="1">
      <c r="A51" s="327" t="s">
        <v>307</v>
      </c>
      <c r="B51" s="343" t="s">
        <v>326</v>
      </c>
      <c r="C51" s="353" t="s">
        <v>133</v>
      </c>
      <c r="D51" s="330"/>
      <c r="E51" s="330" t="s">
        <v>1</v>
      </c>
      <c r="F51" s="376" t="e">
        <f>'SERVIÇOS COMPLEMENTARES'!L3</f>
        <v>#REF!</v>
      </c>
      <c r="G51" s="344">
        <f>COMPOSIÇÕES!I17</f>
        <v>31.110528000000002</v>
      </c>
      <c r="H51" s="332" t="e">
        <f>SUM(F51*G51)</f>
        <v>#REF!</v>
      </c>
      <c r="I51" s="332">
        <f>ROUND(G51*(1+I$6),2)</f>
        <v>38.89</v>
      </c>
      <c r="J51" s="363" t="e">
        <f>ROUND(I51*F51,2)</f>
        <v>#REF!</v>
      </c>
      <c r="K51" s="234"/>
      <c r="L51" s="266" t="e">
        <f>#REF!*N51</f>
        <v>#REF!</v>
      </c>
      <c r="N51" s="295">
        <v>18.84</v>
      </c>
      <c r="O51" s="295"/>
      <c r="Q51" s="270"/>
      <c r="R51" s="270"/>
    </row>
    <row r="52" spans="1:18" s="228" customFormat="1" ht="25.5">
      <c r="A52" s="334" t="s">
        <v>308</v>
      </c>
      <c r="B52" s="309" t="s">
        <v>327</v>
      </c>
      <c r="C52" s="325" t="s">
        <v>254</v>
      </c>
      <c r="D52" s="354"/>
      <c r="E52" s="81" t="s">
        <v>1</v>
      </c>
      <c r="F52" s="377">
        <f>'SERVIÇOS COMPLEMENTARES'!L5</f>
        <v>125.20000000000002</v>
      </c>
      <c r="G52" s="308">
        <f>COMPOSIÇÕES!I59</f>
        <v>18.223200000000002</v>
      </c>
      <c r="H52" s="355"/>
      <c r="I52" s="242">
        <f>ROUND(G52*(1+I$6),2)</f>
        <v>22.78</v>
      </c>
      <c r="J52" s="364">
        <f>ROUND(I52*F52,2)</f>
        <v>2852.06</v>
      </c>
      <c r="K52" s="234"/>
      <c r="L52" s="266"/>
      <c r="N52" s="295"/>
      <c r="O52" s="295"/>
      <c r="Q52" s="270"/>
      <c r="R52" s="270"/>
    </row>
    <row r="53" spans="1:21" s="228" customFormat="1" ht="13.5" thickBot="1">
      <c r="A53" s="335" t="s">
        <v>309</v>
      </c>
      <c r="B53" s="301">
        <v>83356</v>
      </c>
      <c r="C53" s="356" t="s">
        <v>131</v>
      </c>
      <c r="D53" s="301">
        <v>30</v>
      </c>
      <c r="E53" s="301" t="s">
        <v>34</v>
      </c>
      <c r="F53" s="378" t="e">
        <f>'SERVIÇOS COMPLEMENTARES'!L8*ORÇAMENTO!D53</f>
        <v>#REF!</v>
      </c>
      <c r="G53" s="336">
        <v>0.69</v>
      </c>
      <c r="H53" s="302" t="e">
        <f>SUM(F53*G53)</f>
        <v>#REF!</v>
      </c>
      <c r="I53" s="302">
        <f>ROUND(G53*(1+I$6),2)</f>
        <v>0.86</v>
      </c>
      <c r="J53" s="365" t="e">
        <f>ROUND(I53*F53,2)</f>
        <v>#REF!</v>
      </c>
      <c r="K53" s="357"/>
      <c r="Q53" s="269"/>
      <c r="R53" s="269"/>
      <c r="T53" s="270"/>
      <c r="U53" s="270"/>
    </row>
    <row r="54" spans="1:21" s="228" customFormat="1" ht="13.5" thickBot="1">
      <c r="A54" s="553"/>
      <c r="B54" s="554"/>
      <c r="C54" s="555"/>
      <c r="D54" s="556"/>
      <c r="E54" s="509"/>
      <c r="F54" s="557" t="s">
        <v>4</v>
      </c>
      <c r="G54" s="558"/>
      <c r="H54" s="559"/>
      <c r="I54" s="560"/>
      <c r="J54" s="561" t="e">
        <f>SUM(J51:J53)</f>
        <v>#REF!</v>
      </c>
      <c r="K54" s="237"/>
      <c r="Q54" s="269"/>
      <c r="R54" s="269"/>
      <c r="T54" s="270"/>
      <c r="U54" s="270"/>
    </row>
    <row r="55" spans="1:21" s="228" customFormat="1" ht="13.5" thickBot="1">
      <c r="A55" s="396"/>
      <c r="B55" s="337"/>
      <c r="C55" s="338"/>
      <c r="D55" s="339"/>
      <c r="E55" s="340"/>
      <c r="F55" s="379"/>
      <c r="G55" s="341"/>
      <c r="H55" s="342"/>
      <c r="I55" s="277"/>
      <c r="J55" s="397"/>
      <c r="K55" s="237"/>
      <c r="Q55" s="269"/>
      <c r="R55" s="269"/>
      <c r="T55" s="270"/>
      <c r="U55" s="270"/>
    </row>
    <row r="56" spans="1:18" s="228" customFormat="1" ht="13.5" thickBot="1">
      <c r="A56" s="451" t="s">
        <v>32</v>
      </c>
      <c r="B56" s="454"/>
      <c r="C56" s="459" t="s">
        <v>113</v>
      </c>
      <c r="D56" s="454"/>
      <c r="E56" s="454"/>
      <c r="F56" s="460"/>
      <c r="G56" s="461"/>
      <c r="H56" s="462"/>
      <c r="I56" s="457"/>
      <c r="J56" s="463"/>
      <c r="K56" s="235"/>
      <c r="N56" s="269"/>
      <c r="O56" s="269"/>
      <c r="Q56" s="270"/>
      <c r="R56" s="270"/>
    </row>
    <row r="57" spans="1:18" s="228" customFormat="1" ht="33" customHeight="1">
      <c r="A57" s="327" t="s">
        <v>35</v>
      </c>
      <c r="B57" s="328">
        <v>72947</v>
      </c>
      <c r="C57" s="329" t="s">
        <v>134</v>
      </c>
      <c r="D57" s="330"/>
      <c r="E57" s="331" t="s">
        <v>19</v>
      </c>
      <c r="F57" s="376">
        <f>SINALIZAÇÃO!M21+SINALIZAÇÃO!M14</f>
        <v>192.71999999999997</v>
      </c>
      <c r="G57" s="333">
        <v>13.76</v>
      </c>
      <c r="H57" s="332">
        <f>SUM(F57*G57)</f>
        <v>2651.8271999999997</v>
      </c>
      <c r="I57" s="332">
        <f>ROUND(G57*(1+I$6),2)</f>
        <v>17.2</v>
      </c>
      <c r="J57" s="363">
        <f>ROUND(I57*F57,2)</f>
        <v>3314.78</v>
      </c>
      <c r="K57" s="234"/>
      <c r="N57" s="269"/>
      <c r="O57" s="269"/>
      <c r="Q57" s="270"/>
      <c r="R57" s="270"/>
    </row>
    <row r="58" spans="1:18" s="228" customFormat="1" ht="42" customHeight="1">
      <c r="A58" s="334" t="s">
        <v>36</v>
      </c>
      <c r="B58" s="309" t="s">
        <v>329</v>
      </c>
      <c r="C58" s="325" t="s">
        <v>135</v>
      </c>
      <c r="D58" s="81"/>
      <c r="E58" s="326" t="s">
        <v>136</v>
      </c>
      <c r="F58" s="372">
        <f>SINALIZAÇÃO!M6</f>
        <v>46</v>
      </c>
      <c r="G58" s="307">
        <f>COMPOSIÇÕES!I51</f>
        <v>259.71074000000004</v>
      </c>
      <c r="H58" s="242">
        <f>SUM(F58*G58)</f>
        <v>11946.694040000002</v>
      </c>
      <c r="I58" s="242">
        <f>ROUND(G58*(1+I$6),2)</f>
        <v>324.64</v>
      </c>
      <c r="J58" s="364">
        <f>ROUND(I58*F58,2)</f>
        <v>14933.44</v>
      </c>
      <c r="K58" s="234"/>
      <c r="N58" s="269"/>
      <c r="O58" s="269"/>
      <c r="Q58" s="269"/>
      <c r="R58" s="270"/>
    </row>
    <row r="59" spans="1:18" s="228" customFormat="1" ht="20.25" customHeight="1" thickBot="1">
      <c r="A59" s="562" t="s">
        <v>37</v>
      </c>
      <c r="B59" s="563" t="s">
        <v>330</v>
      </c>
      <c r="C59" s="506" t="s">
        <v>335</v>
      </c>
      <c r="D59" s="298"/>
      <c r="E59" s="507" t="s">
        <v>136</v>
      </c>
      <c r="F59" s="375">
        <f>SINALIZAÇÃO!M6+SINALIZAÇÃO!M9</f>
        <v>75</v>
      </c>
      <c r="G59" s="564">
        <f>COMPOSIÇÕES!I36</f>
        <v>159.3275</v>
      </c>
      <c r="H59" s="299"/>
      <c r="I59" s="299">
        <f>ROUND(G59*(1+I$6),2)</f>
        <v>199.16</v>
      </c>
      <c r="J59" s="565">
        <f>ROUND(I59*F59,2)</f>
        <v>14937</v>
      </c>
      <c r="K59" s="234"/>
      <c r="N59" s="269"/>
      <c r="O59" s="269"/>
      <c r="Q59" s="269"/>
      <c r="R59" s="270"/>
    </row>
    <row r="60" spans="1:18" s="228" customFormat="1" ht="13.5" thickBot="1">
      <c r="A60" s="508"/>
      <c r="B60" s="509"/>
      <c r="C60" s="510"/>
      <c r="D60" s="511"/>
      <c r="E60" s="511"/>
      <c r="F60" s="512"/>
      <c r="G60" s="513"/>
      <c r="H60" s="513"/>
      <c r="I60" s="513"/>
      <c r="J60" s="514">
        <f>SUM(J57:J59)</f>
        <v>33185.22</v>
      </c>
      <c r="K60" s="235"/>
      <c r="N60" s="269"/>
      <c r="O60" s="269"/>
      <c r="Q60" s="270"/>
      <c r="R60" s="270"/>
    </row>
    <row r="61" spans="1:11" ht="15.75" thickBot="1">
      <c r="A61" s="726" t="s">
        <v>45</v>
      </c>
      <c r="B61" s="727"/>
      <c r="C61" s="727"/>
      <c r="D61" s="727"/>
      <c r="E61" s="727"/>
      <c r="F61" s="727"/>
      <c r="G61" s="727"/>
      <c r="H61" s="727"/>
      <c r="I61" s="728"/>
      <c r="J61" s="324" t="e">
        <f>J15+J60+J54+J48+J36+J23</f>
        <v>#REF!</v>
      </c>
      <c r="K61" s="238"/>
    </row>
    <row r="62" spans="1:10" ht="13.5" thickBot="1">
      <c r="A62" s="464"/>
      <c r="B62" s="465"/>
      <c r="C62" s="466"/>
      <c r="D62" s="253"/>
      <c r="E62" s="467"/>
      <c r="F62" s="468"/>
      <c r="G62" s="469"/>
      <c r="H62" s="465"/>
      <c r="I62" s="465"/>
      <c r="J62" s="470"/>
    </row>
    <row r="63" spans="1:11" ht="21.75" customHeight="1" thickBot="1">
      <c r="A63" s="542"/>
      <c r="B63" s="543"/>
      <c r="C63" s="544" t="s">
        <v>105</v>
      </c>
      <c r="D63" s="545"/>
      <c r="E63" s="546" t="s">
        <v>106</v>
      </c>
      <c r="F63" s="547" t="s">
        <v>0</v>
      </c>
      <c r="G63" s="548" t="s">
        <v>2</v>
      </c>
      <c r="H63" s="543"/>
      <c r="I63" s="747" t="s">
        <v>108</v>
      </c>
      <c r="J63" s="748"/>
      <c r="K63" s="239"/>
    </row>
    <row r="64" spans="1:11" ht="18" customHeight="1">
      <c r="A64" s="318" t="s">
        <v>6</v>
      </c>
      <c r="B64" s="218" t="str">
        <f>C12</f>
        <v>SERVIÇOS PRELIMINARES</v>
      </c>
      <c r="C64" s="263"/>
      <c r="D64" s="219"/>
      <c r="E64" s="71" t="s">
        <v>106</v>
      </c>
      <c r="F64" s="304">
        <v>1</v>
      </c>
      <c r="G64" s="220" t="e">
        <f aca="true" t="shared" si="4" ref="G64:G69">I64/$I$70</f>
        <v>#REF!</v>
      </c>
      <c r="H64" s="221"/>
      <c r="I64" s="743">
        <f>J15</f>
        <v>4474.44</v>
      </c>
      <c r="J64" s="744"/>
      <c r="K64" s="240"/>
    </row>
    <row r="65" spans="1:11" ht="18" customHeight="1">
      <c r="A65" s="319" t="s">
        <v>12</v>
      </c>
      <c r="B65" s="214" t="str">
        <f>C17</f>
        <v>ADMINISTRAÇÃO LOCAL</v>
      </c>
      <c r="C65" s="264"/>
      <c r="D65" s="215"/>
      <c r="E65" s="70" t="s">
        <v>106</v>
      </c>
      <c r="F65" s="305">
        <v>1</v>
      </c>
      <c r="G65" s="216" t="e">
        <f t="shared" si="4"/>
        <v>#REF!</v>
      </c>
      <c r="H65" s="217"/>
      <c r="I65" s="737">
        <f>J23</f>
        <v>13224.1</v>
      </c>
      <c r="J65" s="738"/>
      <c r="K65" s="240"/>
    </row>
    <row r="66" spans="1:11" ht="18" customHeight="1">
      <c r="A66" s="319" t="s">
        <v>13</v>
      </c>
      <c r="B66" s="214" t="str">
        <f>C26</f>
        <v>IMPLANTAÇÃO ASFÁLTICA - TERRAPLENAGEM</v>
      </c>
      <c r="C66" s="264"/>
      <c r="D66" s="215"/>
      <c r="E66" s="70" t="s">
        <v>252</v>
      </c>
      <c r="F66" s="305">
        <f>F28</f>
        <v>0</v>
      </c>
      <c r="G66" s="216" t="e">
        <f t="shared" si="4"/>
        <v>#REF!</v>
      </c>
      <c r="H66" s="217"/>
      <c r="I66" s="737">
        <f>J36</f>
        <v>0</v>
      </c>
      <c r="J66" s="738"/>
      <c r="K66" s="240"/>
    </row>
    <row r="67" spans="1:13" ht="18" customHeight="1">
      <c r="A67" s="319" t="s">
        <v>8</v>
      </c>
      <c r="B67" s="214" t="str">
        <f>C38</f>
        <v>IMPLANTAÇÃO ASFÁLTICA - PAVIMENTAÇÃO</v>
      </c>
      <c r="C67" s="264"/>
      <c r="D67" s="215"/>
      <c r="E67" s="70" t="s">
        <v>107</v>
      </c>
      <c r="F67" s="305">
        <f>F45</f>
        <v>3523.4000000000005</v>
      </c>
      <c r="G67" s="216" t="e">
        <f t="shared" si="4"/>
        <v>#REF!</v>
      </c>
      <c r="H67" s="217"/>
      <c r="I67" s="733">
        <f>J48</f>
        <v>157866.16</v>
      </c>
      <c r="J67" s="734"/>
      <c r="K67" s="241"/>
      <c r="M67" s="255"/>
    </row>
    <row r="68" spans="1:11" ht="18" customHeight="1">
      <c r="A68" s="319" t="s">
        <v>29</v>
      </c>
      <c r="B68" s="214" t="str">
        <f>C50</f>
        <v>SERVIÇOS COMPLEMENTARES</v>
      </c>
      <c r="C68" s="264"/>
      <c r="D68" s="215"/>
      <c r="E68" s="70" t="s">
        <v>251</v>
      </c>
      <c r="F68" s="305" t="e">
        <f>F51</f>
        <v>#REF!</v>
      </c>
      <c r="G68" s="216" t="e">
        <f t="shared" si="4"/>
        <v>#REF!</v>
      </c>
      <c r="H68" s="217"/>
      <c r="I68" s="733" t="e">
        <f>J54</f>
        <v>#REF!</v>
      </c>
      <c r="J68" s="734"/>
      <c r="K68" s="241"/>
    </row>
    <row r="69" spans="1:11" ht="18" customHeight="1" thickBot="1">
      <c r="A69" s="320" t="s">
        <v>32</v>
      </c>
      <c r="B69" s="222" t="str">
        <f>C56</f>
        <v>SINALIZAÇÃO VIÁRIA</v>
      </c>
      <c r="C69" s="265"/>
      <c r="D69" s="223"/>
      <c r="E69" s="552" t="s">
        <v>107</v>
      </c>
      <c r="F69" s="306">
        <f>F57</f>
        <v>192.71999999999997</v>
      </c>
      <c r="G69" s="74" t="e">
        <f t="shared" si="4"/>
        <v>#REF!</v>
      </c>
      <c r="H69" s="224"/>
      <c r="I69" s="745">
        <f>J60</f>
        <v>33185.22</v>
      </c>
      <c r="J69" s="746"/>
      <c r="K69" s="240"/>
    </row>
    <row r="70" spans="1:11" ht="23.25" customHeight="1" thickBot="1">
      <c r="A70" s="722" t="s">
        <v>109</v>
      </c>
      <c r="B70" s="723"/>
      <c r="C70" s="723"/>
      <c r="D70" s="723"/>
      <c r="E70" s="723"/>
      <c r="F70" s="723"/>
      <c r="G70" s="550" t="e">
        <f>SUM(G64:G69)</f>
        <v>#REF!</v>
      </c>
      <c r="H70" s="551"/>
      <c r="I70" s="741" t="e">
        <f>SUM(I64:J69)</f>
        <v>#REF!</v>
      </c>
      <c r="J70" s="742"/>
      <c r="K70" s="239"/>
    </row>
    <row r="78" spans="10:11" ht="12.75">
      <c r="J78" s="256"/>
      <c r="K78" s="257"/>
    </row>
    <row r="79" spans="7:11" ht="12.75">
      <c r="G79" s="69"/>
      <c r="J79" s="256"/>
      <c r="K79" s="257"/>
    </row>
    <row r="80" spans="7:11" ht="12.75">
      <c r="G80" s="69"/>
      <c r="K80" s="258"/>
    </row>
    <row r="81" ht="12.75">
      <c r="G81" s="69"/>
    </row>
    <row r="82" spans="7:9" ht="12.75">
      <c r="G82" s="69"/>
      <c r="I82" s="259"/>
    </row>
    <row r="83" spans="7:9" ht="12.75">
      <c r="G83" s="69"/>
      <c r="I83" s="260"/>
    </row>
    <row r="84" ht="12.75">
      <c r="G84" s="69"/>
    </row>
    <row r="85" ht="12.75">
      <c r="G85" s="69"/>
    </row>
    <row r="86" ht="12.75">
      <c r="G86" s="69"/>
    </row>
    <row r="87" ht="12.75">
      <c r="G87" s="69"/>
    </row>
    <row r="88" ht="12.75">
      <c r="G88" s="69"/>
    </row>
    <row r="89" ht="12.75">
      <c r="G89" s="69"/>
    </row>
    <row r="90" ht="12.75">
      <c r="G90" s="69"/>
    </row>
    <row r="91" ht="12.75">
      <c r="G91" s="69"/>
    </row>
    <row r="92" ht="12.75">
      <c r="G92" s="69"/>
    </row>
  </sheetData>
  <sheetProtection/>
  <mergeCells count="26">
    <mergeCell ref="N10:N11"/>
    <mergeCell ref="I70:J70"/>
    <mergeCell ref="I64:J64"/>
    <mergeCell ref="I69:J69"/>
    <mergeCell ref="I63:J63"/>
    <mergeCell ref="I67:J67"/>
    <mergeCell ref="I66:J66"/>
    <mergeCell ref="A70:F70"/>
    <mergeCell ref="A10:A11"/>
    <mergeCell ref="J10:J11"/>
    <mergeCell ref="A61:I61"/>
    <mergeCell ref="G10:G11"/>
    <mergeCell ref="G5:J5"/>
    <mergeCell ref="I68:J68"/>
    <mergeCell ref="B10:B11"/>
    <mergeCell ref="D10:D11"/>
    <mergeCell ref="I65:J65"/>
    <mergeCell ref="A1:J1"/>
    <mergeCell ref="F10:F11"/>
    <mergeCell ref="I10:I11"/>
    <mergeCell ref="E10:E11"/>
    <mergeCell ref="C10:C11"/>
    <mergeCell ref="A3:J3"/>
    <mergeCell ref="D9:E9"/>
    <mergeCell ref="H10:H11"/>
    <mergeCell ref="A2:J2"/>
  </mergeCells>
  <dataValidations count="1">
    <dataValidation allowBlank="1" showInputMessage="1" showErrorMessage="1" prompt="Confirmar&#10;DMT" sqref="G52 G54:G55 D53 D26:D51 D56:D60 D10:D13 C14 D15:D17 D20:D24"/>
  </dataValidations>
  <printOptions/>
  <pageMargins left="1.0236220472440944" right="0.2362204724409449" top="0.7480314960629921" bottom="0.7480314960629921" header="0.31496062992125984" footer="0.31496062992125984"/>
  <pageSetup fitToHeight="0" fitToWidth="1" horizontalDpi="600" verticalDpi="600" orientation="portrait" paperSize="9" scale="55" r:id="rId2"/>
  <headerFooter>
    <oddFooter>&amp;CJordana Mileni Bertuzzi Saldanha Martins
Engenheira Civil - Crea - MS 20365/D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3"/>
  <sheetViews>
    <sheetView zoomScalePageLayoutView="0" workbookViewId="0" topLeftCell="A7">
      <selection activeCell="B6" sqref="B6"/>
    </sheetView>
  </sheetViews>
  <sheetFormatPr defaultColWidth="9.140625" defaultRowHeight="12.75"/>
  <cols>
    <col min="1" max="1" width="11.57421875" style="228" customWidth="1"/>
    <col min="2" max="2" width="14.57421875" style="19" customWidth="1"/>
    <col min="3" max="3" width="58.8515625" style="262" customWidth="1"/>
    <col min="4" max="4" width="6.57421875" style="9" customWidth="1"/>
    <col min="5" max="5" width="7.57421875" style="15" customWidth="1"/>
    <col min="6" max="6" width="14.7109375" style="293" customWidth="1"/>
    <col min="7" max="7" width="17.421875" style="20" customWidth="1"/>
    <col min="8" max="8" width="0.13671875" style="19" hidden="1" customWidth="1"/>
    <col min="9" max="9" width="17.140625" style="19" bestFit="1" customWidth="1"/>
    <col min="10" max="10" width="17.00390625" style="19" customWidth="1"/>
    <col min="11" max="11" width="18.421875" style="228" customWidth="1"/>
    <col min="12" max="12" width="1.57421875" style="9" customWidth="1"/>
    <col min="13" max="13" width="8.57421875" style="9" customWidth="1"/>
    <col min="14" max="14" width="7.57421875" style="14" customWidth="1"/>
    <col min="15" max="15" width="10.421875" style="14" customWidth="1"/>
    <col min="16" max="16" width="11.57421875" style="9" customWidth="1"/>
    <col min="17" max="17" width="14.140625" style="18" customWidth="1"/>
    <col min="18" max="18" width="8.8515625" style="18" customWidth="1"/>
    <col min="19" max="19" width="11.140625" style="9" customWidth="1"/>
    <col min="20" max="20" width="9.140625" style="9" customWidth="1"/>
    <col min="21" max="21" width="18.28125" style="9" customWidth="1"/>
    <col min="22" max="22" width="21.8515625" style="9" customWidth="1"/>
    <col min="23" max="23" width="24.57421875" style="9" customWidth="1"/>
    <col min="24" max="24" width="22.00390625" style="9" customWidth="1"/>
    <col min="25" max="16384" width="9.140625" style="9" customWidth="1"/>
  </cols>
  <sheetData>
    <row r="1" spans="1:15" ht="24.75" customHeight="1">
      <c r="A1" s="702" t="s">
        <v>102</v>
      </c>
      <c r="B1" s="703"/>
      <c r="C1" s="703"/>
      <c r="D1" s="703"/>
      <c r="E1" s="703"/>
      <c r="F1" s="703"/>
      <c r="G1" s="703"/>
      <c r="H1" s="703"/>
      <c r="I1" s="703"/>
      <c r="J1" s="704"/>
      <c r="K1" s="226"/>
      <c r="N1" s="9"/>
      <c r="O1" s="9"/>
    </row>
    <row r="2" spans="1:15" ht="19.5" customHeight="1">
      <c r="A2" s="719" t="s">
        <v>262</v>
      </c>
      <c r="B2" s="720"/>
      <c r="C2" s="720"/>
      <c r="D2" s="720"/>
      <c r="E2" s="720"/>
      <c r="F2" s="720"/>
      <c r="G2" s="720"/>
      <c r="H2" s="720"/>
      <c r="I2" s="720"/>
      <c r="J2" s="721"/>
      <c r="K2" s="226"/>
      <c r="N2" s="9"/>
      <c r="O2" s="9"/>
    </row>
    <row r="3" spans="1:15" ht="24.75" customHeight="1" thickBot="1">
      <c r="A3" s="713" t="s">
        <v>295</v>
      </c>
      <c r="B3" s="714"/>
      <c r="C3" s="714"/>
      <c r="D3" s="714"/>
      <c r="E3" s="714"/>
      <c r="F3" s="714"/>
      <c r="G3" s="714"/>
      <c r="H3" s="714"/>
      <c r="I3" s="714"/>
      <c r="J3" s="715"/>
      <c r="K3" s="227"/>
      <c r="N3" s="9"/>
      <c r="O3" s="9"/>
    </row>
    <row r="4" spans="1:15" ht="13.5" thickBot="1">
      <c r="A4" s="311" t="s">
        <v>114</v>
      </c>
      <c r="B4" s="251" t="s">
        <v>296</v>
      </c>
      <c r="C4" s="261"/>
      <c r="D4" s="252"/>
      <c r="E4" s="253"/>
      <c r="F4" s="368"/>
      <c r="G4" s="283"/>
      <c r="J4" s="75"/>
      <c r="L4" s="11"/>
      <c r="M4" s="10"/>
      <c r="N4" s="9"/>
      <c r="O4" s="9"/>
    </row>
    <row r="5" spans="1:18" s="17" customFormat="1" ht="17.25" customHeight="1" thickBot="1">
      <c r="A5" s="312" t="s">
        <v>20</v>
      </c>
      <c r="B5" s="21" t="s">
        <v>368</v>
      </c>
      <c r="C5" s="16"/>
      <c r="D5" s="10"/>
      <c r="E5" s="10"/>
      <c r="F5" s="369"/>
      <c r="G5" s="731"/>
      <c r="H5" s="731"/>
      <c r="I5" s="731"/>
      <c r="J5" s="732"/>
      <c r="K5" s="229"/>
      <c r="L5" s="10"/>
      <c r="M5" s="16"/>
      <c r="Q5" s="23"/>
      <c r="R5" s="23"/>
    </row>
    <row r="6" spans="1:15" ht="18" customHeight="1" thickBot="1">
      <c r="A6" s="313" t="s">
        <v>319</v>
      </c>
      <c r="B6" s="12" t="s">
        <v>15</v>
      </c>
      <c r="C6" s="12"/>
      <c r="D6" s="11"/>
      <c r="E6" s="9"/>
      <c r="F6" s="370"/>
      <c r="G6" s="285" t="s">
        <v>44</v>
      </c>
      <c r="H6" s="77"/>
      <c r="I6" s="79">
        <v>0.25</v>
      </c>
      <c r="J6" s="80"/>
      <c r="L6" s="12"/>
      <c r="M6" s="11"/>
      <c r="N6" s="9"/>
      <c r="O6" s="9"/>
    </row>
    <row r="7" spans="1:15" ht="16.5" customHeight="1" thickBot="1">
      <c r="A7" s="314" t="s">
        <v>115</v>
      </c>
      <c r="B7" s="12"/>
      <c r="C7" s="12" t="s">
        <v>310</v>
      </c>
      <c r="D7" s="11"/>
      <c r="E7" s="9"/>
      <c r="F7" s="370"/>
      <c r="G7" s="284" t="s">
        <v>117</v>
      </c>
      <c r="H7" s="78"/>
      <c r="I7" s="78"/>
      <c r="J7" s="358"/>
      <c r="K7" s="230"/>
      <c r="L7" s="12"/>
      <c r="M7" s="11"/>
      <c r="N7" s="9"/>
      <c r="O7" s="9"/>
    </row>
    <row r="8" spans="1:15" ht="15" customHeight="1" thickBot="1">
      <c r="A8" s="315" t="s">
        <v>116</v>
      </c>
      <c r="B8" s="13">
        <v>43891</v>
      </c>
      <c r="C8" s="12"/>
      <c r="D8" s="11"/>
      <c r="E8" s="9"/>
      <c r="F8" s="370"/>
      <c r="G8" s="284" t="s">
        <v>118</v>
      </c>
      <c r="H8" s="76"/>
      <c r="I8" s="76"/>
      <c r="J8" s="359"/>
      <c r="K8" s="230"/>
      <c r="L8" s="12"/>
      <c r="M8" s="11"/>
      <c r="N8" s="9"/>
      <c r="O8" s="9"/>
    </row>
    <row r="9" spans="1:15" ht="13.5" thickBot="1">
      <c r="A9" s="316"/>
      <c r="B9" s="22"/>
      <c r="C9" s="22"/>
      <c r="D9" s="716"/>
      <c r="E9" s="716"/>
      <c r="F9" s="371"/>
      <c r="G9" s="285" t="s">
        <v>268</v>
      </c>
      <c r="H9" s="254"/>
      <c r="I9" s="395">
        <f>F39</f>
        <v>3523.4000000000005</v>
      </c>
      <c r="J9" s="360"/>
      <c r="K9" s="231"/>
      <c r="L9" s="12"/>
      <c r="M9" s="11"/>
      <c r="N9" s="9"/>
      <c r="O9" s="9"/>
    </row>
    <row r="10" spans="1:18" s="15" customFormat="1" ht="12.75" customHeight="1" thickBot="1">
      <c r="A10" s="724" t="s">
        <v>3</v>
      </c>
      <c r="B10" s="735" t="s">
        <v>103</v>
      </c>
      <c r="C10" s="711" t="s">
        <v>43</v>
      </c>
      <c r="D10" s="709" t="s">
        <v>16</v>
      </c>
      <c r="E10" s="709" t="s">
        <v>17</v>
      </c>
      <c r="F10" s="705" t="s">
        <v>18</v>
      </c>
      <c r="G10" s="729" t="s">
        <v>40</v>
      </c>
      <c r="H10" s="717" t="s">
        <v>42</v>
      </c>
      <c r="I10" s="707" t="s">
        <v>39</v>
      </c>
      <c r="J10" s="717" t="s">
        <v>41</v>
      </c>
      <c r="K10" s="232"/>
      <c r="L10" s="366"/>
      <c r="M10" s="366"/>
      <c r="N10" s="739" t="s">
        <v>5</v>
      </c>
      <c r="O10" s="27"/>
      <c r="Q10" s="367"/>
      <c r="R10" s="367"/>
    </row>
    <row r="11" spans="1:18" s="388" customFormat="1" ht="13.5" customHeight="1" thickBot="1">
      <c r="A11" s="725"/>
      <c r="B11" s="736"/>
      <c r="C11" s="712"/>
      <c r="D11" s="710"/>
      <c r="E11" s="710"/>
      <c r="F11" s="706"/>
      <c r="G11" s="730"/>
      <c r="H11" s="718"/>
      <c r="I11" s="708"/>
      <c r="J11" s="718"/>
      <c r="K11" s="387"/>
      <c r="N11" s="740"/>
      <c r="O11" s="389"/>
      <c r="Q11" s="390"/>
      <c r="R11" s="390"/>
    </row>
    <row r="12" spans="1:15" ht="17.25" customHeight="1" thickBot="1">
      <c r="A12" s="382" t="s">
        <v>6</v>
      </c>
      <c r="B12" s="391"/>
      <c r="C12" s="392" t="s">
        <v>119</v>
      </c>
      <c r="D12" s="393"/>
      <c r="E12" s="393"/>
      <c r="F12" s="394"/>
      <c r="G12" s="383"/>
      <c r="H12" s="384"/>
      <c r="I12" s="384"/>
      <c r="J12" s="385"/>
      <c r="K12" s="233"/>
      <c r="N12" s="386"/>
      <c r="O12" s="68"/>
    </row>
    <row r="13" spans="1:18" s="228" customFormat="1" ht="19.5" customHeight="1" thickBot="1">
      <c r="A13" s="317" t="s">
        <v>7</v>
      </c>
      <c r="B13" s="321" t="s">
        <v>323</v>
      </c>
      <c r="C13" s="345" t="s">
        <v>120</v>
      </c>
      <c r="D13" s="271"/>
      <c r="E13" s="271" t="s">
        <v>19</v>
      </c>
      <c r="F13" s="373">
        <f>P13</f>
        <v>6</v>
      </c>
      <c r="G13" s="380">
        <f>COMPOSIÇÕES!I85</f>
        <v>364.9468</v>
      </c>
      <c r="H13" s="381"/>
      <c r="I13" s="381">
        <f>ROUND(G13*(1+I$6),2)</f>
        <v>456.18</v>
      </c>
      <c r="J13" s="361">
        <f>ROUND(I13*F13,2)</f>
        <v>2737.08</v>
      </c>
      <c r="K13" s="234"/>
      <c r="L13" s="266" t="e">
        <f>#REF!*N13</f>
        <v>#REF!</v>
      </c>
      <c r="N13" s="289">
        <v>141.03</v>
      </c>
      <c r="O13" s="290"/>
      <c r="P13" s="228">
        <f>2*3</f>
        <v>6</v>
      </c>
      <c r="Q13" s="270"/>
      <c r="R13" s="270"/>
    </row>
    <row r="14" spans="1:18" s="228" customFormat="1" ht="15" customHeight="1" thickBot="1">
      <c r="A14" s="595"/>
      <c r="B14" s="596"/>
      <c r="C14" s="597" t="s">
        <v>4</v>
      </c>
      <c r="D14" s="598"/>
      <c r="E14" s="598"/>
      <c r="F14" s="512"/>
      <c r="G14" s="513"/>
      <c r="H14" s="560"/>
      <c r="I14" s="560"/>
      <c r="J14" s="514">
        <f>SUM(J13:J13)</f>
        <v>2737.08</v>
      </c>
      <c r="K14" s="235"/>
      <c r="L14" s="266" t="e">
        <f>#REF!*N14</f>
        <v>#REF!</v>
      </c>
      <c r="N14" s="267"/>
      <c r="O14" s="268"/>
      <c r="Q14" s="269"/>
      <c r="R14" s="270"/>
    </row>
    <row r="15" spans="1:18" s="228" customFormat="1" ht="10.5" customHeight="1" thickBot="1">
      <c r="A15" s="274"/>
      <c r="B15" s="275"/>
      <c r="C15" s="422"/>
      <c r="D15" s="276"/>
      <c r="E15" s="276"/>
      <c r="F15" s="374"/>
      <c r="G15" s="288"/>
      <c r="H15" s="277"/>
      <c r="I15" s="277"/>
      <c r="J15" s="362"/>
      <c r="K15" s="235"/>
      <c r="L15" s="266"/>
      <c r="N15" s="268"/>
      <c r="O15" s="268"/>
      <c r="Q15" s="269"/>
      <c r="R15" s="270"/>
    </row>
    <row r="16" spans="1:18" s="228" customFormat="1" ht="13.5" thickBot="1">
      <c r="A16" s="434"/>
      <c r="B16" s="435"/>
      <c r="C16" s="436" t="s">
        <v>28</v>
      </c>
      <c r="D16" s="437"/>
      <c r="E16" s="435"/>
      <c r="F16" s="438"/>
      <c r="G16" s="439"/>
      <c r="H16" s="440"/>
      <c r="I16" s="441"/>
      <c r="J16" s="442"/>
      <c r="K16" s="235"/>
      <c r="N16" s="294"/>
      <c r="O16" s="294"/>
      <c r="Q16" s="270"/>
      <c r="R16" s="270"/>
    </row>
    <row r="17" spans="1:18" s="228" customFormat="1" ht="13.5" thickBot="1">
      <c r="A17" s="425">
        <v>2</v>
      </c>
      <c r="B17" s="426"/>
      <c r="C17" s="427" t="s">
        <v>126</v>
      </c>
      <c r="D17" s="428"/>
      <c r="E17" s="443"/>
      <c r="F17" s="429"/>
      <c r="G17" s="430"/>
      <c r="H17" s="431"/>
      <c r="I17" s="433"/>
      <c r="J17" s="432"/>
      <c r="K17" s="236"/>
      <c r="N17" s="269"/>
      <c r="O17" s="269"/>
      <c r="Q17" s="270"/>
      <c r="R17" s="270"/>
    </row>
    <row r="18" spans="1:18" s="228" customFormat="1" ht="13.5" thickBot="1">
      <c r="A18" s="425" t="s">
        <v>361</v>
      </c>
      <c r="B18" s="426"/>
      <c r="C18" s="427" t="s">
        <v>260</v>
      </c>
      <c r="D18" s="428"/>
      <c r="E18" s="443"/>
      <c r="F18" s="429"/>
      <c r="G18" s="430"/>
      <c r="H18" s="431"/>
      <c r="I18" s="433"/>
      <c r="J18" s="432"/>
      <c r="K18" s="236"/>
      <c r="N18" s="269"/>
      <c r="O18" s="269"/>
      <c r="Q18" s="270"/>
      <c r="R18" s="270"/>
    </row>
    <row r="19" spans="1:24" s="228" customFormat="1" ht="39" thickBot="1">
      <c r="A19" s="317" t="s">
        <v>362</v>
      </c>
      <c r="B19" s="321" t="s">
        <v>33</v>
      </c>
      <c r="C19" s="345" t="s">
        <v>127</v>
      </c>
      <c r="D19" s="321"/>
      <c r="E19" s="321" t="s">
        <v>31</v>
      </c>
      <c r="F19" s="373">
        <f>'PAV. TSD'!H8</f>
        <v>0</v>
      </c>
      <c r="G19" s="286">
        <v>1.27</v>
      </c>
      <c r="H19" s="272">
        <f aca="true" t="shared" si="0" ref="H19:H27">SUM(F19*G19)</f>
        <v>0</v>
      </c>
      <c r="I19" s="272">
        <f>ROUND(G19*(1+I$6),2)</f>
        <v>1.59</v>
      </c>
      <c r="J19" s="361">
        <f>ROUND(I19*F19,2)</f>
        <v>0</v>
      </c>
      <c r="K19" s="234"/>
      <c r="L19" s="266" t="e">
        <f>#REF!*N19</f>
        <v>#REF!</v>
      </c>
      <c r="N19" s="295">
        <v>1.27</v>
      </c>
      <c r="O19" s="295"/>
      <c r="Q19" s="270"/>
      <c r="R19" s="296"/>
      <c r="S19" s="346"/>
      <c r="T19" s="347"/>
      <c r="U19" s="346"/>
      <c r="V19" s="347"/>
      <c r="W19" s="347"/>
      <c r="X19" s="347"/>
    </row>
    <row r="20" spans="1:24" s="228" customFormat="1" ht="13.5" thickBot="1">
      <c r="A20" s="425" t="s">
        <v>363</v>
      </c>
      <c r="B20" s="426"/>
      <c r="C20" s="427" t="s">
        <v>256</v>
      </c>
      <c r="D20" s="428"/>
      <c r="E20" s="443"/>
      <c r="F20" s="429"/>
      <c r="G20" s="430"/>
      <c r="H20" s="431"/>
      <c r="I20" s="433"/>
      <c r="J20" s="432"/>
      <c r="K20" s="234"/>
      <c r="L20" s="266"/>
      <c r="N20" s="295"/>
      <c r="O20" s="295"/>
      <c r="Q20" s="270"/>
      <c r="R20" s="296"/>
      <c r="S20" s="297"/>
      <c r="T20" s="297"/>
      <c r="X20" s="297"/>
    </row>
    <row r="21" spans="1:24" s="228" customFormat="1" ht="39" thickBot="1">
      <c r="A21" s="562" t="s">
        <v>364</v>
      </c>
      <c r="B21" s="298">
        <v>96386</v>
      </c>
      <c r="C21" s="350" t="s">
        <v>255</v>
      </c>
      <c r="D21" s="298"/>
      <c r="E21" s="298" t="s">
        <v>31</v>
      </c>
      <c r="F21" s="375">
        <f>'PAV. TSD'!H13</f>
        <v>0</v>
      </c>
      <c r="G21" s="300">
        <v>4.43</v>
      </c>
      <c r="H21" s="299"/>
      <c r="I21" s="299">
        <f>ROUND(G21*(1+I$6),2)</f>
        <v>5.54</v>
      </c>
      <c r="J21" s="565">
        <f>ROUND(I21*F21,2)</f>
        <v>0</v>
      </c>
      <c r="K21" s="234"/>
      <c r="L21" s="266"/>
      <c r="N21" s="295"/>
      <c r="O21" s="295"/>
      <c r="Q21" s="270"/>
      <c r="R21" s="296"/>
      <c r="S21" s="297"/>
      <c r="T21" s="297"/>
      <c r="X21" s="297"/>
    </row>
    <row r="22" spans="1:24" s="228" customFormat="1" ht="13.5" thickBot="1">
      <c r="A22" s="553"/>
      <c r="B22" s="511"/>
      <c r="C22" s="572" t="s">
        <v>4</v>
      </c>
      <c r="D22" s="511"/>
      <c r="E22" s="511"/>
      <c r="F22" s="573"/>
      <c r="G22" s="574"/>
      <c r="H22" s="571"/>
      <c r="I22" s="571"/>
      <c r="J22" s="514">
        <f>SUM(J18:J21)</f>
        <v>0</v>
      </c>
      <c r="K22" s="235"/>
      <c r="L22" s="266"/>
      <c r="N22" s="295"/>
      <c r="O22" s="295"/>
      <c r="Q22" s="270"/>
      <c r="R22" s="296"/>
      <c r="S22" s="297"/>
      <c r="T22" s="297"/>
      <c r="X22" s="297"/>
    </row>
    <row r="23" spans="1:24" s="228" customFormat="1" ht="13.5" thickBot="1">
      <c r="A23" s="396"/>
      <c r="B23" s="444"/>
      <c r="C23" s="445"/>
      <c r="D23" s="444"/>
      <c r="E23" s="444"/>
      <c r="F23" s="446"/>
      <c r="G23" s="447"/>
      <c r="H23" s="448"/>
      <c r="I23" s="448"/>
      <c r="J23" s="362"/>
      <c r="K23" s="235"/>
      <c r="L23" s="266"/>
      <c r="N23" s="295"/>
      <c r="O23" s="295"/>
      <c r="Q23" s="270"/>
      <c r="R23" s="296"/>
      <c r="S23" s="297"/>
      <c r="T23" s="297"/>
      <c r="X23" s="297"/>
    </row>
    <row r="24" spans="1:24" s="228" customFormat="1" ht="14.25" customHeight="1" thickBot="1">
      <c r="A24" s="425" t="s">
        <v>13</v>
      </c>
      <c r="B24" s="426"/>
      <c r="C24" s="427" t="s">
        <v>128</v>
      </c>
      <c r="D24" s="428"/>
      <c r="E24" s="443"/>
      <c r="F24" s="429"/>
      <c r="G24" s="430"/>
      <c r="H24" s="431"/>
      <c r="I24" s="433"/>
      <c r="J24" s="432"/>
      <c r="K24" s="236"/>
      <c r="L24" s="266"/>
      <c r="N24" s="295"/>
      <c r="O24" s="295"/>
      <c r="Q24" s="270"/>
      <c r="R24" s="296"/>
      <c r="S24" s="297"/>
      <c r="T24" s="297"/>
      <c r="X24" s="297"/>
    </row>
    <row r="25" spans="1:18" s="228" customFormat="1" ht="12.75">
      <c r="A25" s="317" t="s">
        <v>365</v>
      </c>
      <c r="B25" s="519">
        <v>4743</v>
      </c>
      <c r="C25" s="520" t="s">
        <v>341</v>
      </c>
      <c r="D25" s="81"/>
      <c r="E25" s="352" t="s">
        <v>31</v>
      </c>
      <c r="F25" s="372">
        <f>'PAV. TSD'!H22</f>
        <v>584.8260000000001</v>
      </c>
      <c r="G25" s="287">
        <v>26.52</v>
      </c>
      <c r="H25" s="242">
        <f t="shared" si="0"/>
        <v>15509.585520000004</v>
      </c>
      <c r="I25" s="242">
        <f>ROUND(G25*(1+I$6),2)</f>
        <v>33.15</v>
      </c>
      <c r="J25" s="361">
        <f>ROUND(I25*F25,2)</f>
        <v>19386.98</v>
      </c>
      <c r="K25" s="234"/>
      <c r="L25" s="266" t="e">
        <f>#REF!*N25</f>
        <v>#REF!</v>
      </c>
      <c r="N25" s="295">
        <v>2.62</v>
      </c>
      <c r="O25" s="295"/>
      <c r="Q25" s="270"/>
      <c r="R25" s="296"/>
    </row>
    <row r="26" spans="1:18" s="228" customFormat="1" ht="12.75">
      <c r="A26" s="317" t="s">
        <v>366</v>
      </c>
      <c r="B26" s="310">
        <v>96401</v>
      </c>
      <c r="C26" s="273" t="s">
        <v>129</v>
      </c>
      <c r="D26" s="81"/>
      <c r="E26" s="352" t="s">
        <v>19</v>
      </c>
      <c r="F26" s="372">
        <f>'PAV. TSD'!H25</f>
        <v>3523.4000000000005</v>
      </c>
      <c r="G26" s="287">
        <v>6.53</v>
      </c>
      <c r="H26" s="242">
        <f t="shared" si="0"/>
        <v>23007.802000000003</v>
      </c>
      <c r="I26" s="242">
        <f>ROUND(G26*(1+I$6),2)</f>
        <v>8.16</v>
      </c>
      <c r="J26" s="361">
        <f>ROUND(I26*F26,2)</f>
        <v>28750.94</v>
      </c>
      <c r="K26" s="234"/>
      <c r="L26" s="266" t="e">
        <f>#REF!*N26</f>
        <v>#REF!</v>
      </c>
      <c r="N26" s="295">
        <v>0.93</v>
      </c>
      <c r="O26" s="295"/>
      <c r="Q26" s="270"/>
      <c r="R26" s="296"/>
    </row>
    <row r="27" spans="1:18" s="228" customFormat="1" ht="39" thickBot="1">
      <c r="A27" s="317" t="s">
        <v>367</v>
      </c>
      <c r="B27" s="310">
        <v>97807</v>
      </c>
      <c r="C27" s="273" t="s">
        <v>130</v>
      </c>
      <c r="D27" s="81"/>
      <c r="E27" s="352" t="s">
        <v>19</v>
      </c>
      <c r="F27" s="372">
        <f>'PAV. TSD'!H28</f>
        <v>3523.4000000000005</v>
      </c>
      <c r="G27" s="287">
        <v>15.75</v>
      </c>
      <c r="H27" s="242">
        <f t="shared" si="0"/>
        <v>55493.55000000001</v>
      </c>
      <c r="I27" s="242">
        <f>ROUND(G27*(1+I$6),2)</f>
        <v>19.69</v>
      </c>
      <c r="J27" s="361">
        <f>ROUND(I27*F27,2)</f>
        <v>69375.75</v>
      </c>
      <c r="K27" s="234"/>
      <c r="L27" s="266" t="e">
        <f>#REF!*N27</f>
        <v>#REF!</v>
      </c>
      <c r="N27" s="295">
        <v>3.59</v>
      </c>
      <c r="O27" s="295"/>
      <c r="Q27" s="270"/>
      <c r="R27" s="296"/>
    </row>
    <row r="28" spans="1:18" s="228" customFormat="1" ht="13.5" thickBot="1">
      <c r="A28" s="570"/>
      <c r="B28" s="509"/>
      <c r="C28" s="510" t="s">
        <v>4</v>
      </c>
      <c r="D28" s="511"/>
      <c r="E28" s="511"/>
      <c r="F28" s="512"/>
      <c r="G28" s="513"/>
      <c r="H28" s="560">
        <f>SUM(H19:H27)</f>
        <v>94010.93752</v>
      </c>
      <c r="I28" s="571"/>
      <c r="J28" s="514">
        <f>SUM(J25:J27)</f>
        <v>117513.67</v>
      </c>
      <c r="K28" s="235"/>
      <c r="L28" s="266" t="e">
        <f>#REF!*N28</f>
        <v>#REF!</v>
      </c>
      <c r="N28" s="295"/>
      <c r="O28" s="295"/>
      <c r="Q28" s="270"/>
      <c r="R28" s="257"/>
    </row>
    <row r="29" spans="1:18" s="228" customFormat="1" ht="13.5" thickBot="1">
      <c r="A29" s="449"/>
      <c r="B29" s="340"/>
      <c r="C29" s="450"/>
      <c r="D29" s="444"/>
      <c r="E29" s="444"/>
      <c r="F29" s="374"/>
      <c r="G29" s="288"/>
      <c r="H29" s="277"/>
      <c r="I29" s="448"/>
      <c r="J29" s="362"/>
      <c r="K29" s="235"/>
      <c r="L29" s="266"/>
      <c r="N29" s="295"/>
      <c r="O29" s="295"/>
      <c r="Q29" s="270"/>
      <c r="R29" s="257"/>
    </row>
    <row r="30" spans="1:18" s="228" customFormat="1" ht="13.5" thickBot="1">
      <c r="A30" s="451" t="s">
        <v>8</v>
      </c>
      <c r="B30" s="452"/>
      <c r="C30" s="453" t="s">
        <v>30</v>
      </c>
      <c r="D30" s="454"/>
      <c r="E30" s="454"/>
      <c r="F30" s="455"/>
      <c r="G30" s="456"/>
      <c r="H30" s="457"/>
      <c r="I30" s="457"/>
      <c r="J30" s="458"/>
      <c r="K30" s="234"/>
      <c r="L30" s="266" t="e">
        <f>#REF!*N30</f>
        <v>#REF!</v>
      </c>
      <c r="N30" s="303"/>
      <c r="O30" s="303"/>
      <c r="Q30" s="270"/>
      <c r="R30" s="270"/>
    </row>
    <row r="31" spans="1:18" s="228" customFormat="1" ht="33" customHeight="1" thickBot="1">
      <c r="A31" s="327" t="s">
        <v>9</v>
      </c>
      <c r="B31" s="343" t="s">
        <v>326</v>
      </c>
      <c r="C31" s="353" t="s">
        <v>133</v>
      </c>
      <c r="D31" s="330"/>
      <c r="E31" s="330" t="s">
        <v>1</v>
      </c>
      <c r="F31" s="376" t="e">
        <f>'SERVIÇOS COMPLEMENTARES'!L3</f>
        <v>#REF!</v>
      </c>
      <c r="G31" s="344">
        <f>COMPOSIÇÕES!I17</f>
        <v>31.110528000000002</v>
      </c>
      <c r="H31" s="332" t="e">
        <f>SUM(F31*G31)</f>
        <v>#REF!</v>
      </c>
      <c r="I31" s="332">
        <f>ROUND(G31*(1+I$6),2)</f>
        <v>38.89</v>
      </c>
      <c r="J31" s="363" t="e">
        <f>ROUND(I31*F31,2)</f>
        <v>#REF!</v>
      </c>
      <c r="K31" s="234"/>
      <c r="L31" s="266" t="e">
        <f>#REF!*N31</f>
        <v>#REF!</v>
      </c>
      <c r="N31" s="295">
        <v>18.84</v>
      </c>
      <c r="O31" s="295"/>
      <c r="Q31" s="270"/>
      <c r="R31" s="270"/>
    </row>
    <row r="32" spans="1:21" s="228" customFormat="1" ht="13.5" thickBot="1">
      <c r="A32" s="553"/>
      <c r="B32" s="554"/>
      <c r="C32" s="555"/>
      <c r="D32" s="556"/>
      <c r="E32" s="509"/>
      <c r="F32" s="557" t="s">
        <v>4</v>
      </c>
      <c r="G32" s="558"/>
      <c r="H32" s="559"/>
      <c r="I32" s="560"/>
      <c r="J32" s="561" t="e">
        <f>SUM(J31:J31)</f>
        <v>#REF!</v>
      </c>
      <c r="K32" s="237"/>
      <c r="Q32" s="269"/>
      <c r="R32" s="269"/>
      <c r="T32" s="270"/>
      <c r="U32" s="270"/>
    </row>
    <row r="33" spans="1:21" s="228" customFormat="1" ht="13.5" thickBot="1">
      <c r="A33" s="396"/>
      <c r="B33" s="337"/>
      <c r="C33" s="338"/>
      <c r="D33" s="339"/>
      <c r="E33" s="340"/>
      <c r="F33" s="379"/>
      <c r="G33" s="341"/>
      <c r="H33" s="342"/>
      <c r="I33" s="277"/>
      <c r="J33" s="397"/>
      <c r="K33" s="237"/>
      <c r="Q33" s="269"/>
      <c r="R33" s="269"/>
      <c r="T33" s="270"/>
      <c r="U33" s="270"/>
    </row>
    <row r="34" spans="1:11" ht="15.75" thickBot="1">
      <c r="A34" s="726" t="s">
        <v>45</v>
      </c>
      <c r="B34" s="727"/>
      <c r="C34" s="727"/>
      <c r="D34" s="727"/>
      <c r="E34" s="727"/>
      <c r="F34" s="727"/>
      <c r="G34" s="727"/>
      <c r="H34" s="727"/>
      <c r="I34" s="728"/>
      <c r="J34" s="324" t="e">
        <f>J14+J32+J28+J22</f>
        <v>#REF!</v>
      </c>
      <c r="K34" s="238"/>
    </row>
    <row r="35" spans="1:10" ht="13.5" thickBot="1">
      <c r="A35" s="464"/>
      <c r="B35" s="465"/>
      <c r="C35" s="466"/>
      <c r="D35" s="253"/>
      <c r="E35" s="467"/>
      <c r="F35" s="468"/>
      <c r="G35" s="469"/>
      <c r="H35" s="465"/>
      <c r="I35" s="465"/>
      <c r="J35" s="470"/>
    </row>
    <row r="36" spans="1:11" ht="21.75" customHeight="1" thickBot="1">
      <c r="A36" s="549"/>
      <c r="B36" s="543"/>
      <c r="C36" s="544" t="s">
        <v>105</v>
      </c>
      <c r="D36" s="545"/>
      <c r="E36" s="546" t="s">
        <v>106</v>
      </c>
      <c r="F36" s="547" t="s">
        <v>0</v>
      </c>
      <c r="G36" s="548" t="s">
        <v>2</v>
      </c>
      <c r="H36" s="543"/>
      <c r="I36" s="747" t="s">
        <v>108</v>
      </c>
      <c r="J36" s="748"/>
      <c r="K36" s="239"/>
    </row>
    <row r="37" spans="1:11" ht="18" customHeight="1">
      <c r="A37" s="318" t="s">
        <v>6</v>
      </c>
      <c r="B37" s="218" t="str">
        <f>C12</f>
        <v>SERVIÇOS PRELIMINARES</v>
      </c>
      <c r="C37" s="263"/>
      <c r="D37" s="219"/>
      <c r="E37" s="70" t="s">
        <v>106</v>
      </c>
      <c r="F37" s="305">
        <v>1</v>
      </c>
      <c r="G37" s="216" t="e">
        <f>I37/$I$41</f>
        <v>#REF!</v>
      </c>
      <c r="H37" s="217"/>
      <c r="I37" s="737">
        <f>J14</f>
        <v>2737.08</v>
      </c>
      <c r="J37" s="749"/>
      <c r="K37" s="240"/>
    </row>
    <row r="38" spans="1:11" ht="18" customHeight="1">
      <c r="A38" s="319" t="s">
        <v>12</v>
      </c>
      <c r="B38" s="214" t="str">
        <f>C17</f>
        <v>IMPLANTAÇÃO ASFÁLTICA - TERRAPLENAGEM</v>
      </c>
      <c r="C38" s="264"/>
      <c r="D38" s="215"/>
      <c r="E38" s="70" t="s">
        <v>252</v>
      </c>
      <c r="F38" s="305">
        <f>F21</f>
        <v>0</v>
      </c>
      <c r="G38" s="216" t="e">
        <f>I38/$I$41</f>
        <v>#REF!</v>
      </c>
      <c r="H38" s="217"/>
      <c r="I38" s="737">
        <f>J22</f>
        <v>0</v>
      </c>
      <c r="J38" s="749"/>
      <c r="K38" s="240"/>
    </row>
    <row r="39" spans="1:13" ht="18" customHeight="1">
      <c r="A39" s="319" t="s">
        <v>13</v>
      </c>
      <c r="B39" s="214" t="str">
        <f>C24</f>
        <v>IMPLANTAÇÃO ASFÁLTICA - PAVIMENTAÇÃO</v>
      </c>
      <c r="C39" s="264"/>
      <c r="D39" s="215"/>
      <c r="E39" s="70" t="s">
        <v>107</v>
      </c>
      <c r="F39" s="305">
        <f>F27</f>
        <v>3523.4000000000005</v>
      </c>
      <c r="G39" s="216" t="e">
        <f>I39/$I$41</f>
        <v>#REF!</v>
      </c>
      <c r="H39" s="217"/>
      <c r="I39" s="733">
        <f>J28</f>
        <v>117513.67</v>
      </c>
      <c r="J39" s="733"/>
      <c r="K39" s="241"/>
      <c r="M39" s="255"/>
    </row>
    <row r="40" spans="1:11" ht="18" customHeight="1">
      <c r="A40" s="319" t="s">
        <v>8</v>
      </c>
      <c r="B40" s="214" t="str">
        <f>C30</f>
        <v>SERVIÇOS COMPLEMENTARES</v>
      </c>
      <c r="C40" s="264"/>
      <c r="D40" s="215"/>
      <c r="E40" s="70" t="s">
        <v>251</v>
      </c>
      <c r="F40" s="305" t="e">
        <f>F31</f>
        <v>#REF!</v>
      </c>
      <c r="G40" s="216" t="e">
        <f>I40/$I$41</f>
        <v>#REF!</v>
      </c>
      <c r="H40" s="217"/>
      <c r="I40" s="733" t="e">
        <f>J32</f>
        <v>#REF!</v>
      </c>
      <c r="J40" s="733"/>
      <c r="K40" s="241"/>
    </row>
    <row r="41" spans="1:11" ht="23.25" customHeight="1" thickBot="1">
      <c r="A41" s="722" t="s">
        <v>109</v>
      </c>
      <c r="B41" s="723"/>
      <c r="C41" s="723"/>
      <c r="D41" s="723"/>
      <c r="E41" s="723"/>
      <c r="F41" s="723"/>
      <c r="G41" s="550" t="e">
        <f>SUM(G37:G40)</f>
        <v>#REF!</v>
      </c>
      <c r="H41" s="551"/>
      <c r="I41" s="741" t="e">
        <f>SUM(I37:J40)</f>
        <v>#REF!</v>
      </c>
      <c r="J41" s="742"/>
      <c r="K41" s="239"/>
    </row>
    <row r="49" spans="10:11" ht="12.75">
      <c r="J49" s="256"/>
      <c r="K49" s="257"/>
    </row>
    <row r="50" spans="7:11" ht="12.75">
      <c r="G50" s="69"/>
      <c r="J50" s="256"/>
      <c r="K50" s="257"/>
    </row>
    <row r="51" spans="7:11" ht="12.75">
      <c r="G51" s="69"/>
      <c r="K51" s="258"/>
    </row>
    <row r="52" ht="12.75">
      <c r="G52" s="69"/>
    </row>
    <row r="53" spans="7:9" ht="12.75">
      <c r="G53" s="69"/>
      <c r="I53" s="259"/>
    </row>
    <row r="54" spans="7:9" ht="12.75">
      <c r="G54" s="69"/>
      <c r="I54" s="260"/>
    </row>
    <row r="55" ht="12.75">
      <c r="G55" s="69"/>
    </row>
    <row r="56" ht="12.75">
      <c r="G56" s="69"/>
    </row>
    <row r="57" ht="12.75">
      <c r="G57" s="69"/>
    </row>
    <row r="58" ht="12.75">
      <c r="G58" s="69"/>
    </row>
    <row r="59" ht="12.75">
      <c r="G59" s="69"/>
    </row>
    <row r="60" ht="12.75">
      <c r="G60" s="69"/>
    </row>
    <row r="61" ht="12.75">
      <c r="G61" s="69"/>
    </row>
    <row r="62" ht="12.75">
      <c r="G62" s="69"/>
    </row>
    <row r="63" ht="12.75">
      <c r="G63" s="69"/>
    </row>
  </sheetData>
  <sheetProtection/>
  <mergeCells count="24">
    <mergeCell ref="I40:J40"/>
    <mergeCell ref="A41:F41"/>
    <mergeCell ref="I41:J41"/>
    <mergeCell ref="A34:I34"/>
    <mergeCell ref="I36:J36"/>
    <mergeCell ref="I37:J37"/>
    <mergeCell ref="I38:J38"/>
    <mergeCell ref="I39:J39"/>
    <mergeCell ref="F10:F11"/>
    <mergeCell ref="G10:G11"/>
    <mergeCell ref="H10:H11"/>
    <mergeCell ref="I10:I11"/>
    <mergeCell ref="J10:J11"/>
    <mergeCell ref="N10:N11"/>
    <mergeCell ref="A1:J1"/>
    <mergeCell ref="A2:J2"/>
    <mergeCell ref="A3:J3"/>
    <mergeCell ref="G5:J5"/>
    <mergeCell ref="D9:E9"/>
    <mergeCell ref="A10:A11"/>
    <mergeCell ref="B10:B11"/>
    <mergeCell ref="C10:C11"/>
    <mergeCell ref="D10:D11"/>
    <mergeCell ref="E10:E11"/>
  </mergeCells>
  <dataValidations count="1">
    <dataValidation allowBlank="1" showInputMessage="1" showErrorMessage="1" prompt="Confirmar&#10;DMT" sqref="G32:G33 D10:D15 D17:D31"/>
  </dataValidations>
  <printOptions/>
  <pageMargins left="0.511811024" right="0.511811024" top="0.787401575" bottom="0.787401575" header="0.31496062" footer="0.31496062"/>
  <pageSetup fitToHeight="0" fitToWidth="1" horizontalDpi="600" verticalDpi="600" orientation="portrait" paperSize="9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zoomScale="90" zoomScaleNormal="90" zoomScalePageLayoutView="0" workbookViewId="0" topLeftCell="A1">
      <selection activeCell="B6" sqref="B6"/>
    </sheetView>
  </sheetViews>
  <sheetFormatPr defaultColWidth="9.140625" defaultRowHeight="27" customHeight="1"/>
  <cols>
    <col min="1" max="1" width="11.57421875" style="228" customWidth="1"/>
    <col min="2" max="2" width="14.57421875" style="19" customWidth="1"/>
    <col min="3" max="3" width="64.28125" style="262" customWidth="1"/>
    <col min="4" max="4" width="9.00390625" style="15" customWidth="1"/>
    <col min="5" max="5" width="14.7109375" style="293" customWidth="1"/>
    <col min="6" max="6" width="18.421875" style="228" customWidth="1"/>
    <col min="7" max="7" width="1.57421875" style="9" customWidth="1"/>
    <col min="8" max="8" width="8.57421875" style="9" customWidth="1"/>
    <col min="9" max="9" width="7.57421875" style="14" customWidth="1"/>
    <col min="10" max="10" width="10.421875" style="14" customWidth="1"/>
    <col min="11" max="11" width="11.57421875" style="9" customWidth="1"/>
    <col min="12" max="12" width="14.140625" style="18" customWidth="1"/>
    <col min="13" max="13" width="8.8515625" style="18" customWidth="1"/>
    <col min="14" max="14" width="11.140625" style="9" customWidth="1"/>
    <col min="15" max="15" width="9.140625" style="9" customWidth="1"/>
    <col min="16" max="16" width="18.28125" style="9" customWidth="1"/>
    <col min="17" max="17" width="21.8515625" style="9" customWidth="1"/>
    <col min="18" max="18" width="24.57421875" style="9" customWidth="1"/>
    <col min="19" max="19" width="22.00390625" style="9" customWidth="1"/>
    <col min="20" max="16384" width="9.140625" style="9" customWidth="1"/>
  </cols>
  <sheetData>
    <row r="1" spans="1:10" ht="27" customHeight="1">
      <c r="A1" s="750" t="s">
        <v>102</v>
      </c>
      <c r="B1" s="751"/>
      <c r="C1" s="751"/>
      <c r="D1" s="751"/>
      <c r="E1" s="752"/>
      <c r="F1" s="226"/>
      <c r="I1" s="9"/>
      <c r="J1" s="9"/>
    </row>
    <row r="2" spans="1:10" ht="24.75" customHeight="1">
      <c r="A2" s="753" t="s">
        <v>262</v>
      </c>
      <c r="B2" s="754"/>
      <c r="C2" s="754"/>
      <c r="D2" s="754"/>
      <c r="E2" s="755"/>
      <c r="F2" s="226"/>
      <c r="I2" s="9"/>
      <c r="J2" s="9"/>
    </row>
    <row r="3" spans="1:10" ht="27" customHeight="1" thickBot="1">
      <c r="A3" s="756" t="s">
        <v>295</v>
      </c>
      <c r="B3" s="757"/>
      <c r="C3" s="757"/>
      <c r="D3" s="757"/>
      <c r="E3" s="758"/>
      <c r="F3" s="227"/>
      <c r="I3" s="9"/>
      <c r="J3" s="9"/>
    </row>
    <row r="4" spans="1:10" ht="17.25" customHeight="1">
      <c r="A4" s="311" t="s">
        <v>114</v>
      </c>
      <c r="B4" s="251" t="s">
        <v>296</v>
      </c>
      <c r="C4" s="261"/>
      <c r="D4" s="253"/>
      <c r="E4" s="368"/>
      <c r="G4" s="11"/>
      <c r="H4" s="10"/>
      <c r="I4" s="9"/>
      <c r="J4" s="9"/>
    </row>
    <row r="5" spans="1:13" s="17" customFormat="1" ht="17.25" customHeight="1">
      <c r="A5" s="312" t="s">
        <v>20</v>
      </c>
      <c r="B5" s="21" t="s">
        <v>368</v>
      </c>
      <c r="C5" s="16"/>
      <c r="D5" s="10"/>
      <c r="E5" s="369"/>
      <c r="F5" s="229"/>
      <c r="G5" s="10"/>
      <c r="H5" s="16"/>
      <c r="L5" s="23"/>
      <c r="M5" s="23"/>
    </row>
    <row r="6" spans="1:10" ht="17.25" customHeight="1">
      <c r="A6" s="313" t="s">
        <v>319</v>
      </c>
      <c r="B6" s="12" t="s">
        <v>15</v>
      </c>
      <c r="C6" s="12"/>
      <c r="D6" s="9"/>
      <c r="E6" s="370"/>
      <c r="G6" s="12"/>
      <c r="H6" s="11"/>
      <c r="I6" s="9"/>
      <c r="J6" s="9"/>
    </row>
    <row r="7" spans="1:10" ht="17.25" customHeight="1">
      <c r="A7" s="314" t="s">
        <v>115</v>
      </c>
      <c r="B7" s="12"/>
      <c r="C7" s="12" t="s">
        <v>310</v>
      </c>
      <c r="D7" s="9"/>
      <c r="E7" s="370"/>
      <c r="F7" s="230"/>
      <c r="G7" s="12"/>
      <c r="H7" s="11"/>
      <c r="I7" s="9"/>
      <c r="J7" s="9"/>
    </row>
    <row r="8" spans="1:10" ht="17.25" customHeight="1">
      <c r="A8" s="315" t="s">
        <v>116</v>
      </c>
      <c r="B8" s="13">
        <v>43891</v>
      </c>
      <c r="C8" s="12"/>
      <c r="D8" s="9"/>
      <c r="E8" s="370"/>
      <c r="F8" s="230"/>
      <c r="G8" s="12"/>
      <c r="H8" s="11"/>
      <c r="I8" s="9"/>
      <c r="J8" s="9"/>
    </row>
    <row r="9" spans="1:10" ht="17.25" customHeight="1" thickBot="1">
      <c r="A9" s="316"/>
      <c r="B9" s="22"/>
      <c r="C9" s="22"/>
      <c r="D9" s="601"/>
      <c r="E9" s="371"/>
      <c r="F9" s="231"/>
      <c r="G9" s="12"/>
      <c r="H9" s="11"/>
      <c r="I9" s="9"/>
      <c r="J9" s="9"/>
    </row>
    <row r="10" spans="1:13" s="15" customFormat="1" ht="12.75" customHeight="1" thickBot="1">
      <c r="A10" s="759" t="s">
        <v>3</v>
      </c>
      <c r="B10" s="761" t="s">
        <v>103</v>
      </c>
      <c r="C10" s="761" t="s">
        <v>43</v>
      </c>
      <c r="D10" s="763" t="s">
        <v>17</v>
      </c>
      <c r="E10" s="705" t="s">
        <v>18</v>
      </c>
      <c r="F10" s="232"/>
      <c r="G10" s="366"/>
      <c r="H10" s="366"/>
      <c r="I10" s="739" t="s">
        <v>5</v>
      </c>
      <c r="J10" s="27"/>
      <c r="L10" s="367"/>
      <c r="M10" s="367"/>
    </row>
    <row r="11" spans="1:13" s="388" customFormat="1" ht="11.25" customHeight="1" thickBot="1">
      <c r="A11" s="760"/>
      <c r="B11" s="762"/>
      <c r="C11" s="762"/>
      <c r="D11" s="764"/>
      <c r="E11" s="706"/>
      <c r="F11" s="387"/>
      <c r="I11" s="740"/>
      <c r="J11" s="389"/>
      <c r="L11" s="390"/>
      <c r="M11" s="390"/>
    </row>
    <row r="12" spans="1:13" s="228" customFormat="1" ht="17.25" customHeight="1" thickBot="1">
      <c r="A12" s="434"/>
      <c r="B12" s="435"/>
      <c r="C12" s="436" t="s">
        <v>28</v>
      </c>
      <c r="D12" s="435"/>
      <c r="E12" s="438"/>
      <c r="F12" s="235"/>
      <c r="I12" s="294"/>
      <c r="J12" s="294"/>
      <c r="L12" s="270"/>
      <c r="M12" s="270"/>
    </row>
    <row r="13" spans="1:19" s="228" customFormat="1" ht="20.25" customHeight="1" thickBot="1">
      <c r="A13" s="425" t="s">
        <v>6</v>
      </c>
      <c r="B13" s="426"/>
      <c r="C13" s="427" t="s">
        <v>256</v>
      </c>
      <c r="D13" s="443"/>
      <c r="E13" s="429"/>
      <c r="F13" s="234"/>
      <c r="G13" s="266"/>
      <c r="I13" s="295"/>
      <c r="J13" s="295"/>
      <c r="L13" s="270"/>
      <c r="M13" s="296"/>
      <c r="N13" s="297"/>
      <c r="O13" s="297"/>
      <c r="S13" s="297"/>
    </row>
    <row r="14" spans="1:13" s="347" customFormat="1" ht="30.75" customHeight="1">
      <c r="A14" s="515" t="s">
        <v>7</v>
      </c>
      <c r="B14" s="516">
        <v>96390</v>
      </c>
      <c r="C14" s="423" t="s">
        <v>342</v>
      </c>
      <c r="D14" s="517" t="s">
        <v>31</v>
      </c>
      <c r="E14" s="424">
        <f>'PAV. TSD'!H22</f>
        <v>584.8260000000001</v>
      </c>
      <c r="F14" s="235"/>
      <c r="G14" s="348" t="e">
        <f>#REF!*I14</f>
        <v>#REF!</v>
      </c>
      <c r="I14" s="504">
        <v>2.62</v>
      </c>
      <c r="J14" s="504"/>
      <c r="L14" s="505"/>
      <c r="M14" s="518"/>
    </row>
    <row r="15" spans="1:19" s="228" customFormat="1" ht="12.75" customHeight="1" thickBot="1">
      <c r="A15" s="396"/>
      <c r="B15" s="444"/>
      <c r="C15" s="445"/>
      <c r="D15" s="444"/>
      <c r="E15" s="446"/>
      <c r="F15" s="235"/>
      <c r="G15" s="266"/>
      <c r="I15" s="295"/>
      <c r="J15" s="295"/>
      <c r="L15" s="270"/>
      <c r="M15" s="296"/>
      <c r="N15" s="297"/>
      <c r="O15" s="297"/>
      <c r="S15" s="297"/>
    </row>
    <row r="16" spans="1:19" s="228" customFormat="1" ht="18" customHeight="1" thickBot="1">
      <c r="A16" s="425" t="s">
        <v>12</v>
      </c>
      <c r="B16" s="426"/>
      <c r="C16" s="427" t="s">
        <v>128</v>
      </c>
      <c r="D16" s="443"/>
      <c r="E16" s="429"/>
      <c r="F16" s="236"/>
      <c r="G16" s="266"/>
      <c r="I16" s="295"/>
      <c r="J16" s="295"/>
      <c r="L16" s="270"/>
      <c r="M16" s="296"/>
      <c r="N16" s="297"/>
      <c r="O16" s="297"/>
      <c r="S16" s="297"/>
    </row>
    <row r="17" spans="1:13" s="347" customFormat="1" ht="28.5" customHeight="1">
      <c r="A17" s="515" t="s">
        <v>351</v>
      </c>
      <c r="B17" s="516">
        <v>96401</v>
      </c>
      <c r="C17" s="423" t="s">
        <v>129</v>
      </c>
      <c r="D17" s="517" t="s">
        <v>19</v>
      </c>
      <c r="E17" s="424">
        <f>'PAV. TSD'!H25</f>
        <v>3523.4000000000005</v>
      </c>
      <c r="F17" s="235"/>
      <c r="G17" s="348" t="e">
        <f>#REF!*I17</f>
        <v>#REF!</v>
      </c>
      <c r="I17" s="504">
        <v>0.93</v>
      </c>
      <c r="J17" s="504"/>
      <c r="L17" s="505"/>
      <c r="M17" s="518"/>
    </row>
    <row r="18" spans="1:13" s="347" customFormat="1" ht="39" customHeight="1">
      <c r="A18" s="515" t="s">
        <v>353</v>
      </c>
      <c r="B18" s="516">
        <v>97807</v>
      </c>
      <c r="C18" s="423" t="s">
        <v>130</v>
      </c>
      <c r="D18" s="517" t="s">
        <v>19</v>
      </c>
      <c r="E18" s="424">
        <f>'PAV. TSD'!H28</f>
        <v>3523.4000000000005</v>
      </c>
      <c r="F18" s="235"/>
      <c r="G18" s="348" t="e">
        <f>#REF!*I18</f>
        <v>#REF!</v>
      </c>
      <c r="I18" s="504">
        <v>3.59</v>
      </c>
      <c r="J18" s="504"/>
      <c r="L18" s="505"/>
      <c r="M18" s="518"/>
    </row>
    <row r="19" spans="1:13" s="228" customFormat="1" ht="12" customHeight="1" thickBot="1">
      <c r="A19" s="449"/>
      <c r="B19" s="340"/>
      <c r="C19" s="450"/>
      <c r="D19" s="444"/>
      <c r="E19" s="374"/>
      <c r="F19" s="235"/>
      <c r="G19" s="266"/>
      <c r="I19" s="295"/>
      <c r="J19" s="295"/>
      <c r="L19" s="270"/>
      <c r="M19" s="257"/>
    </row>
    <row r="20" spans="1:13" s="228" customFormat="1" ht="20.25" customHeight="1" thickBot="1">
      <c r="A20" s="451" t="s">
        <v>13</v>
      </c>
      <c r="B20" s="452"/>
      <c r="C20" s="453" t="s">
        <v>30</v>
      </c>
      <c r="D20" s="454"/>
      <c r="E20" s="455"/>
      <c r="F20" s="234"/>
      <c r="G20" s="266" t="e">
        <f>#REF!*I20</f>
        <v>#REF!</v>
      </c>
      <c r="I20" s="303"/>
      <c r="J20" s="303"/>
      <c r="L20" s="270"/>
      <c r="M20" s="270"/>
    </row>
    <row r="21" spans="1:13" s="347" customFormat="1" ht="39" customHeight="1" thickBot="1">
      <c r="A21" s="503" t="s">
        <v>365</v>
      </c>
      <c r="B21" s="499" t="s">
        <v>326</v>
      </c>
      <c r="C21" s="500" t="s">
        <v>133</v>
      </c>
      <c r="D21" s="501" t="s">
        <v>1</v>
      </c>
      <c r="E21" s="502" t="e">
        <f>'SERVIÇOS COMPLEMENTARES'!L3</f>
        <v>#REF!</v>
      </c>
      <c r="F21" s="235"/>
      <c r="G21" s="348" t="e">
        <f>#REF!*I21</f>
        <v>#REF!</v>
      </c>
      <c r="I21" s="504">
        <v>18.84</v>
      </c>
      <c r="J21" s="504"/>
      <c r="L21" s="505"/>
      <c r="M21" s="505"/>
    </row>
    <row r="22" spans="1:5" ht="15.75" customHeight="1" thickBot="1">
      <c r="A22" s="464"/>
      <c r="B22" s="465"/>
      <c r="C22" s="466"/>
      <c r="D22" s="467"/>
      <c r="E22" s="468"/>
    </row>
    <row r="23" spans="1:6" ht="17.25" customHeight="1">
      <c r="A23" s="602"/>
      <c r="B23" s="543"/>
      <c r="C23" s="605" t="s">
        <v>105</v>
      </c>
      <c r="D23" s="546" t="s">
        <v>106</v>
      </c>
      <c r="E23" s="547" t="s">
        <v>0</v>
      </c>
      <c r="F23" s="239"/>
    </row>
    <row r="24" spans="1:6" ht="23.25" customHeight="1">
      <c r="A24" s="319" t="s">
        <v>6</v>
      </c>
      <c r="B24" s="214" t="str">
        <f>C13</f>
        <v>TERRAPLANAGEM - ATERRO</v>
      </c>
      <c r="C24" s="599"/>
      <c r="D24" s="70" t="s">
        <v>107</v>
      </c>
      <c r="E24" s="603">
        <f>E14</f>
        <v>584.8260000000001</v>
      </c>
      <c r="F24" s="241"/>
    </row>
    <row r="25" spans="1:6" ht="23.25" customHeight="1">
      <c r="A25" s="319" t="s">
        <v>351</v>
      </c>
      <c r="B25" s="214" t="str">
        <f>C17</f>
        <v>EXECUÇÃO DE IMPRIMAÇÃO COM ASFALTO DILUÍDO CM-30.</v>
      </c>
      <c r="C25" s="599"/>
      <c r="D25" s="70" t="s">
        <v>107</v>
      </c>
      <c r="E25" s="603">
        <f>E17</f>
        <v>3523.4000000000005</v>
      </c>
      <c r="F25" s="240"/>
    </row>
    <row r="26" spans="1:6" ht="23.25" customHeight="1">
      <c r="A26" s="319" t="s">
        <v>353</v>
      </c>
      <c r="B26" s="214" t="str">
        <f>C18</f>
        <v>CONSTRUÇÃO DE PAVIMENTO COM TRATAMENTO SUPERFICIAL DUPLO, COM EMULSÃO ASFÁLTICA RR-2C, COM CAPA SELANTE</v>
      </c>
      <c r="C26" s="599"/>
      <c r="D26" s="70" t="s">
        <v>107</v>
      </c>
      <c r="E26" s="606">
        <f>E18</f>
        <v>3523.4000000000005</v>
      </c>
      <c r="F26" s="240"/>
    </row>
    <row r="27" spans="1:6" ht="23.25" customHeight="1" thickBot="1">
      <c r="A27" s="320" t="s">
        <v>8</v>
      </c>
      <c r="B27" s="222" t="str">
        <f>C20</f>
        <v>SERVIÇOS COMPLEMENTARES</v>
      </c>
      <c r="C27" s="600"/>
      <c r="D27" s="552" t="s">
        <v>251</v>
      </c>
      <c r="E27" s="604" t="e">
        <f>E21</f>
        <v>#REF!</v>
      </c>
      <c r="F27" s="240"/>
    </row>
    <row r="35" ht="27" customHeight="1">
      <c r="F35" s="257"/>
    </row>
    <row r="36" ht="27" customHeight="1">
      <c r="F36" s="257"/>
    </row>
    <row r="37" ht="27" customHeight="1">
      <c r="F37" s="258"/>
    </row>
  </sheetData>
  <sheetProtection/>
  <mergeCells count="9">
    <mergeCell ref="I10:I11"/>
    <mergeCell ref="A1:E1"/>
    <mergeCell ref="A2:E2"/>
    <mergeCell ref="A3:E3"/>
    <mergeCell ref="A10:A11"/>
    <mergeCell ref="B10:B11"/>
    <mergeCell ref="C10:C11"/>
    <mergeCell ref="D10:D11"/>
    <mergeCell ref="E10:E11"/>
  </mergeCells>
  <printOptions/>
  <pageMargins left="0.511811024" right="0.511811024" top="0.787401575" bottom="0.787401575" header="0.31496062" footer="0.31496062"/>
  <pageSetup fitToHeight="0" fitToWidth="1" horizontalDpi="600" verticalDpi="600" orientation="portrait" paperSize="9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6"/>
  <sheetViews>
    <sheetView tabSelected="1" zoomScalePageLayoutView="0" workbookViewId="0" topLeftCell="A1">
      <selection activeCell="I35" sqref="I35"/>
    </sheetView>
  </sheetViews>
  <sheetFormatPr defaultColWidth="9.140625" defaultRowHeight="12.75"/>
  <cols>
    <col min="1" max="1" width="13.00390625" style="228" customWidth="1"/>
    <col min="2" max="2" width="12.00390625" style="19" customWidth="1"/>
    <col min="3" max="3" width="58.8515625" style="262" customWidth="1"/>
    <col min="4" max="4" width="10.28125" style="262" customWidth="1"/>
    <col min="5" max="5" width="7.57421875" style="15" customWidth="1"/>
    <col min="6" max="6" width="14.140625" style="293" customWidth="1"/>
    <col min="7" max="7" width="17.00390625" style="20" customWidth="1"/>
    <col min="8" max="8" width="0.13671875" style="19" hidden="1" customWidth="1"/>
    <col min="9" max="9" width="14.421875" style="19" customWidth="1"/>
    <col min="10" max="10" width="17.140625" style="19" customWidth="1"/>
    <col min="11" max="11" width="18.421875" style="228" customWidth="1"/>
    <col min="12" max="12" width="1.57421875" style="9" customWidth="1"/>
    <col min="13" max="13" width="8.57421875" style="9" customWidth="1"/>
    <col min="14" max="14" width="13.8515625" style="14" customWidth="1"/>
    <col min="15" max="15" width="16.7109375" style="14" customWidth="1"/>
    <col min="16" max="16" width="13.8515625" style="9" customWidth="1"/>
    <col min="17" max="17" width="14.140625" style="18" customWidth="1"/>
    <col min="18" max="18" width="8.8515625" style="18" customWidth="1"/>
    <col min="19" max="19" width="11.140625" style="9" customWidth="1"/>
    <col min="20" max="20" width="9.140625" style="9" customWidth="1"/>
    <col min="21" max="21" width="18.28125" style="9" customWidth="1"/>
    <col min="22" max="22" width="21.8515625" style="9" customWidth="1"/>
    <col min="23" max="23" width="24.57421875" style="9" customWidth="1"/>
    <col min="24" max="24" width="22.00390625" style="9" customWidth="1"/>
    <col min="25" max="16384" width="9.140625" style="9" customWidth="1"/>
  </cols>
  <sheetData>
    <row r="1" spans="1:15" ht="24.75" customHeight="1">
      <c r="A1" s="702" t="s">
        <v>102</v>
      </c>
      <c r="B1" s="703"/>
      <c r="C1" s="703"/>
      <c r="D1" s="703"/>
      <c r="E1" s="703"/>
      <c r="F1" s="703"/>
      <c r="G1" s="703"/>
      <c r="H1" s="703"/>
      <c r="I1" s="703"/>
      <c r="J1" s="704"/>
      <c r="K1" s="226"/>
      <c r="N1" s="9"/>
      <c r="O1" s="9"/>
    </row>
    <row r="2" spans="1:15" ht="19.5" customHeight="1">
      <c r="A2" s="719" t="s">
        <v>262</v>
      </c>
      <c r="B2" s="720"/>
      <c r="C2" s="720"/>
      <c r="D2" s="720"/>
      <c r="E2" s="720"/>
      <c r="F2" s="720"/>
      <c r="G2" s="720"/>
      <c r="H2" s="720"/>
      <c r="I2" s="720"/>
      <c r="J2" s="721"/>
      <c r="K2" s="226"/>
      <c r="N2" s="9"/>
      <c r="O2" s="9"/>
    </row>
    <row r="3" spans="1:15" ht="24.75" customHeight="1" thickBot="1">
      <c r="A3" s="713" t="s">
        <v>295</v>
      </c>
      <c r="B3" s="714"/>
      <c r="C3" s="714"/>
      <c r="D3" s="714"/>
      <c r="E3" s="714"/>
      <c r="F3" s="714"/>
      <c r="G3" s="714"/>
      <c r="H3" s="714"/>
      <c r="I3" s="714"/>
      <c r="J3" s="715"/>
      <c r="K3" s="227"/>
      <c r="N3" s="9"/>
      <c r="O3" s="9"/>
    </row>
    <row r="4" spans="1:15" ht="13.5" thickBot="1">
      <c r="A4" s="311" t="s">
        <v>114</v>
      </c>
      <c r="B4" s="251" t="s">
        <v>296</v>
      </c>
      <c r="C4" s="261"/>
      <c r="D4" s="261"/>
      <c r="E4" s="253"/>
      <c r="F4" s="368"/>
      <c r="G4" s="765"/>
      <c r="I4" s="767">
        <f>I31</f>
        <v>200538.36</v>
      </c>
      <c r="J4" s="768"/>
      <c r="L4" s="11"/>
      <c r="M4" s="10"/>
      <c r="N4" s="9"/>
      <c r="O4" s="9"/>
    </row>
    <row r="5" spans="1:18" s="17" customFormat="1" ht="17.25" customHeight="1" thickBot="1">
      <c r="A5" s="312" t="s">
        <v>20</v>
      </c>
      <c r="B5" s="21" t="s">
        <v>387</v>
      </c>
      <c r="C5" s="16"/>
      <c r="D5" s="16"/>
      <c r="E5" s="10"/>
      <c r="F5" s="369"/>
      <c r="G5" s="766"/>
      <c r="H5" s="252"/>
      <c r="I5" s="769"/>
      <c r="J5" s="770"/>
      <c r="K5" s="229"/>
      <c r="L5" s="10"/>
      <c r="M5" s="16">
        <f>I4/F15</f>
        <v>56.91614917409319</v>
      </c>
      <c r="Q5" s="23"/>
      <c r="R5" s="23"/>
    </row>
    <row r="6" spans="1:15" ht="18" customHeight="1" thickBot="1">
      <c r="A6" s="315" t="s">
        <v>371</v>
      </c>
      <c r="B6" s="12" t="s">
        <v>15</v>
      </c>
      <c r="C6" s="12"/>
      <c r="D6" s="12"/>
      <c r="E6" s="9"/>
      <c r="F6" s="370"/>
      <c r="G6" s="285" t="s">
        <v>44</v>
      </c>
      <c r="H6" s="77"/>
      <c r="I6" s="79">
        <f>'BDI SERVIÇOS'!N27</f>
        <v>0.2971</v>
      </c>
      <c r="J6" s="80"/>
      <c r="L6" s="12"/>
      <c r="M6" s="11">
        <v>1.2971</v>
      </c>
      <c r="N6" s="9"/>
      <c r="O6" s="9"/>
    </row>
    <row r="7" spans="1:15" ht="16.5" customHeight="1" thickBot="1">
      <c r="A7" s="314" t="s">
        <v>115</v>
      </c>
      <c r="B7" s="12"/>
      <c r="C7" s="12" t="s">
        <v>389</v>
      </c>
      <c r="D7" s="12"/>
      <c r="E7" s="9"/>
      <c r="F7" s="370"/>
      <c r="G7" s="284" t="s">
        <v>377</v>
      </c>
      <c r="H7" s="78"/>
      <c r="I7" s="78"/>
      <c r="J7" s="358"/>
      <c r="K7" s="230"/>
      <c r="L7" s="12"/>
      <c r="M7" s="11"/>
      <c r="N7" s="9"/>
      <c r="O7" s="9"/>
    </row>
    <row r="8" spans="1:15" ht="15" customHeight="1" thickBot="1">
      <c r="A8" s="315" t="s">
        <v>116</v>
      </c>
      <c r="B8" s="13">
        <v>44317</v>
      </c>
      <c r="C8" s="12"/>
      <c r="D8" s="12"/>
      <c r="E8" s="9"/>
      <c r="F8" s="370"/>
      <c r="G8" s="284" t="s">
        <v>378</v>
      </c>
      <c r="H8" s="76"/>
      <c r="I8" s="76"/>
      <c r="J8" s="359"/>
      <c r="K8" s="230"/>
      <c r="L8" s="12"/>
      <c r="M8" s="11"/>
      <c r="N8" s="9"/>
      <c r="O8" s="9"/>
    </row>
    <row r="9" spans="1:15" ht="13.5" thickBot="1">
      <c r="A9" s="316"/>
      <c r="B9" s="22"/>
      <c r="C9" s="22"/>
      <c r="D9" s="22"/>
      <c r="E9" s="601"/>
      <c r="F9" s="371"/>
      <c r="G9" s="285" t="s">
        <v>268</v>
      </c>
      <c r="H9" s="254"/>
      <c r="I9" s="395">
        <v>3523.4</v>
      </c>
      <c r="J9" s="360"/>
      <c r="K9" s="231"/>
      <c r="L9" s="12"/>
      <c r="M9" s="11"/>
      <c r="N9" s="9"/>
      <c r="O9" s="9"/>
    </row>
    <row r="10" spans="1:18" s="15" customFormat="1" ht="12.75" customHeight="1" thickBot="1">
      <c r="A10" s="724" t="s">
        <v>3</v>
      </c>
      <c r="B10" s="735" t="s">
        <v>103</v>
      </c>
      <c r="C10" s="711" t="s">
        <v>43</v>
      </c>
      <c r="D10" s="709" t="s">
        <v>17</v>
      </c>
      <c r="E10" s="709"/>
      <c r="F10" s="705" t="s">
        <v>18</v>
      </c>
      <c r="G10" s="729" t="s">
        <v>40</v>
      </c>
      <c r="H10" s="717" t="s">
        <v>42</v>
      </c>
      <c r="I10" s="717" t="s">
        <v>39</v>
      </c>
      <c r="J10" s="717" t="s">
        <v>41</v>
      </c>
      <c r="K10" s="232"/>
      <c r="L10" s="366"/>
      <c r="M10" s="366"/>
      <c r="N10" s="739" t="s">
        <v>5</v>
      </c>
      <c r="O10" s="27"/>
      <c r="Q10" s="367"/>
      <c r="R10" s="367"/>
    </row>
    <row r="11" spans="1:18" s="388" customFormat="1" ht="13.5" customHeight="1" thickBot="1">
      <c r="A11" s="725"/>
      <c r="B11" s="736"/>
      <c r="C11" s="712"/>
      <c r="D11" s="710"/>
      <c r="E11" s="710"/>
      <c r="F11" s="706"/>
      <c r="G11" s="730"/>
      <c r="H11" s="718"/>
      <c r="I11" s="718"/>
      <c r="J11" s="718"/>
      <c r="K11" s="387"/>
      <c r="N11" s="740"/>
      <c r="O11" s="389"/>
      <c r="Q11" s="390"/>
      <c r="R11" s="390"/>
    </row>
    <row r="12" spans="1:18" s="15" customFormat="1" ht="24.75" customHeight="1" thickBot="1">
      <c r="A12" s="635"/>
      <c r="B12" s="779" t="s">
        <v>348</v>
      </c>
      <c r="C12" s="780"/>
      <c r="D12" s="781"/>
      <c r="E12" s="613"/>
      <c r="F12" s="636"/>
      <c r="G12" s="637"/>
      <c r="H12" s="638"/>
      <c r="I12" s="638"/>
      <c r="J12" s="668">
        <f>J13</f>
        <v>8123.91</v>
      </c>
      <c r="K12" s="232"/>
      <c r="N12" s="27"/>
      <c r="O12" s="27"/>
      <c r="Q12" s="367"/>
      <c r="R12" s="367"/>
    </row>
    <row r="13" spans="1:18" s="15" customFormat="1" ht="27.75" customHeight="1" thickBot="1">
      <c r="A13" s="635"/>
      <c r="B13" s="625">
        <v>100319</v>
      </c>
      <c r="C13" s="626" t="s">
        <v>390</v>
      </c>
      <c r="D13" s="627" t="s">
        <v>391</v>
      </c>
      <c r="E13" s="630"/>
      <c r="F13" s="446">
        <f>0.13*3</f>
        <v>0.39</v>
      </c>
      <c r="G13" s="640">
        <v>16059.32</v>
      </c>
      <c r="H13" s="672"/>
      <c r="I13" s="673">
        <f>G13*M6</f>
        <v>20830.543972</v>
      </c>
      <c r="J13" s="361">
        <f>ROUND(I13*F13,2)</f>
        <v>8123.91</v>
      </c>
      <c r="K13" s="232"/>
      <c r="N13" s="27"/>
      <c r="O13" s="27"/>
      <c r="Q13" s="367"/>
      <c r="R13" s="367"/>
    </row>
    <row r="14" spans="1:24" s="228" customFormat="1" ht="14.25" customHeight="1" thickBot="1">
      <c r="A14" s="425" t="s">
        <v>12</v>
      </c>
      <c r="B14" s="426"/>
      <c r="C14" s="427" t="s">
        <v>128</v>
      </c>
      <c r="D14" s="674"/>
      <c r="E14" s="674"/>
      <c r="F14" s="674"/>
      <c r="G14" s="674"/>
      <c r="H14" s="674"/>
      <c r="I14" s="674"/>
      <c r="J14" s="670">
        <f>SUM(J15:J16)</f>
        <v>153126.96</v>
      </c>
      <c r="K14" s="236"/>
      <c r="L14" s="266"/>
      <c r="N14" s="295"/>
      <c r="O14" s="295"/>
      <c r="Q14" s="270"/>
      <c r="R14" s="296"/>
      <c r="S14" s="297"/>
      <c r="T14" s="297"/>
      <c r="X14" s="297"/>
    </row>
    <row r="15" spans="1:18" s="228" customFormat="1" ht="25.5">
      <c r="A15" s="317" t="s">
        <v>351</v>
      </c>
      <c r="B15" s="628" t="s">
        <v>392</v>
      </c>
      <c r="C15" s="528" t="s">
        <v>393</v>
      </c>
      <c r="D15" s="666" t="s">
        <v>19</v>
      </c>
      <c r="E15" s="666"/>
      <c r="F15" s="372">
        <f>'PAV. TSD'!H25</f>
        <v>3523.4000000000005</v>
      </c>
      <c r="G15" s="678">
        <v>6.6</v>
      </c>
      <c r="H15" s="671">
        <f>SUM(F15*G15)</f>
        <v>23254.440000000002</v>
      </c>
      <c r="I15" s="671">
        <f>ROUND(G15*(1+I$6),2)</f>
        <v>8.56</v>
      </c>
      <c r="J15" s="669">
        <f>ROUND(I15*F15,2)</f>
        <v>30160.3</v>
      </c>
      <c r="K15" s="234"/>
      <c r="L15" s="266" t="e">
        <f>#REF!*N15</f>
        <v>#REF!</v>
      </c>
      <c r="N15" s="295">
        <v>0.93</v>
      </c>
      <c r="O15" s="295"/>
      <c r="Q15" s="270"/>
      <c r="R15" s="296"/>
    </row>
    <row r="16" spans="1:18" s="228" customFormat="1" ht="39" thickBot="1">
      <c r="A16" s="317" t="s">
        <v>353</v>
      </c>
      <c r="B16" s="563">
        <v>97807</v>
      </c>
      <c r="C16" s="629" t="s">
        <v>394</v>
      </c>
      <c r="D16" s="666" t="s">
        <v>19</v>
      </c>
      <c r="E16" s="666"/>
      <c r="F16" s="372">
        <f>'PAV. TSD'!H28</f>
        <v>3523.4000000000005</v>
      </c>
      <c r="G16" s="679">
        <v>26.91</v>
      </c>
      <c r="H16" s="671">
        <f>SUM(F16*G16)</f>
        <v>94814.69400000002</v>
      </c>
      <c r="I16" s="671">
        <f>ROUND(G16*(1+I$6),2)</f>
        <v>34.9</v>
      </c>
      <c r="J16" s="669">
        <f>ROUND(I16*F16,2)</f>
        <v>122966.66</v>
      </c>
      <c r="K16" s="234"/>
      <c r="L16" s="266" t="e">
        <f>#REF!*N16</f>
        <v>#REF!</v>
      </c>
      <c r="N16" s="295">
        <v>3.59</v>
      </c>
      <c r="O16" s="295"/>
      <c r="Q16" s="270"/>
      <c r="R16" s="296"/>
    </row>
    <row r="17" spans="1:18" s="228" customFormat="1" ht="12.75" customHeight="1">
      <c r="A17" s="631" t="s">
        <v>13</v>
      </c>
      <c r="B17" s="775" t="s">
        <v>395</v>
      </c>
      <c r="C17" s="776"/>
      <c r="D17" s="665"/>
      <c r="E17" s="665" t="s">
        <v>16</v>
      </c>
      <c r="F17" s="639" t="s">
        <v>408</v>
      </c>
      <c r="G17" s="784"/>
      <c r="H17" s="785"/>
      <c r="I17" s="786"/>
      <c r="J17" s="675">
        <f>SUM(J18:J24)</f>
        <v>39287.490000000005</v>
      </c>
      <c r="K17" s="235"/>
      <c r="L17" s="266" t="e">
        <f>#REF!*N17</f>
        <v>#REF!</v>
      </c>
      <c r="N17" s="295"/>
      <c r="O17" s="295"/>
      <c r="Q17" s="270"/>
      <c r="R17" s="257"/>
    </row>
    <row r="18" spans="1:11" ht="39" thickBot="1">
      <c r="A18" s="334" t="s">
        <v>365</v>
      </c>
      <c r="B18" s="309">
        <v>102332</v>
      </c>
      <c r="C18" s="273" t="s">
        <v>396</v>
      </c>
      <c r="D18" s="632" t="s">
        <v>397</v>
      </c>
      <c r="E18" s="632">
        <v>30</v>
      </c>
      <c r="F18" s="661">
        <f>(((I9)*1.2)*0.992)*E18*0.02</f>
        <v>2516.553216</v>
      </c>
      <c r="G18" s="641">
        <v>1.83</v>
      </c>
      <c r="I18" s="664">
        <f>G18*M6</f>
        <v>2.373693</v>
      </c>
      <c r="J18" s="667">
        <f>TRUNC(F18*I18,2)</f>
        <v>5973.52</v>
      </c>
      <c r="K18" s="238"/>
    </row>
    <row r="19" spans="1:17" ht="51.75" thickBot="1">
      <c r="A19" s="334" t="s">
        <v>366</v>
      </c>
      <c r="B19" s="309">
        <v>102333</v>
      </c>
      <c r="C19" s="273" t="s">
        <v>398</v>
      </c>
      <c r="D19" s="632" t="s">
        <v>397</v>
      </c>
      <c r="E19" s="632">
        <v>40</v>
      </c>
      <c r="F19" s="661">
        <f>(((I9)*1.2)*0.992)*E19*0.02</f>
        <v>3355.404288</v>
      </c>
      <c r="G19" s="681">
        <v>0.74</v>
      </c>
      <c r="H19" s="465"/>
      <c r="I19" s="664">
        <f>G19*M6</f>
        <v>0.9598539999999999</v>
      </c>
      <c r="J19" s="667">
        <f aca="true" t="shared" si="0" ref="J19:J24">TRUNC(F19*I19,2)</f>
        <v>3220.69</v>
      </c>
      <c r="M19" s="642" t="s">
        <v>409</v>
      </c>
      <c r="N19" s="643" t="s">
        <v>410</v>
      </c>
      <c r="O19" s="644" t="s">
        <v>411</v>
      </c>
      <c r="P19" s="645" t="s">
        <v>412</v>
      </c>
      <c r="Q19" s="646" t="s">
        <v>413</v>
      </c>
    </row>
    <row r="20" spans="1:17" ht="39" customHeight="1" thickBot="1">
      <c r="A20" s="334" t="s">
        <v>367</v>
      </c>
      <c r="B20" s="309">
        <v>102332</v>
      </c>
      <c r="C20" s="273" t="s">
        <v>399</v>
      </c>
      <c r="D20" s="632" t="s">
        <v>397</v>
      </c>
      <c r="E20" s="632">
        <v>30</v>
      </c>
      <c r="F20" s="661">
        <f>(((I9)*3.1)*0.992)*E20*0.02</f>
        <v>6501.095808</v>
      </c>
      <c r="G20" s="681">
        <v>1.83</v>
      </c>
      <c r="I20" s="664">
        <f>G20*M6</f>
        <v>2.373693</v>
      </c>
      <c r="J20" s="667">
        <f t="shared" si="0"/>
        <v>15431.6</v>
      </c>
      <c r="K20" s="239"/>
      <c r="M20" s="647">
        <v>0.0073</v>
      </c>
      <c r="N20" s="648">
        <f>I9*M20</f>
        <v>25.72082</v>
      </c>
      <c r="O20" s="649">
        <v>1375</v>
      </c>
      <c r="P20" s="650">
        <f>N20*O20/1000</f>
        <v>35.366127500000005</v>
      </c>
      <c r="Q20" s="651">
        <f>P20*30</f>
        <v>1060.9838250000003</v>
      </c>
    </row>
    <row r="21" spans="1:17" ht="50.25" customHeight="1" thickBot="1">
      <c r="A21" s="334" t="s">
        <v>400</v>
      </c>
      <c r="B21" s="309">
        <v>102333</v>
      </c>
      <c r="C21" s="273" t="s">
        <v>401</v>
      </c>
      <c r="D21" s="632" t="s">
        <v>397</v>
      </c>
      <c r="E21" s="632">
        <v>40</v>
      </c>
      <c r="F21" s="661">
        <f>(((I9)*3.1)*0.992)*E21*0.02</f>
        <v>8668.127744</v>
      </c>
      <c r="G21" s="641">
        <v>0.74</v>
      </c>
      <c r="I21" s="664">
        <f>G21*M6</f>
        <v>0.9598539999999999</v>
      </c>
      <c r="J21" s="667">
        <f t="shared" si="0"/>
        <v>8320.13</v>
      </c>
      <c r="K21" s="241"/>
      <c r="M21" s="652">
        <v>0.015</v>
      </c>
      <c r="N21" s="648">
        <f>I9*M21</f>
        <v>52.851</v>
      </c>
      <c r="O21" s="653">
        <v>1384</v>
      </c>
      <c r="P21" s="654">
        <f>N21*O21/1000</f>
        <v>73.145784</v>
      </c>
      <c r="Q21" s="655">
        <f>P21*30</f>
        <v>2194.37352</v>
      </c>
    </row>
    <row r="22" spans="1:17" ht="23.25" customHeight="1" thickBot="1">
      <c r="A22" s="334" t="s">
        <v>407</v>
      </c>
      <c r="B22" s="633">
        <v>95880</v>
      </c>
      <c r="C22" s="634" t="s">
        <v>402</v>
      </c>
      <c r="D22" s="633" t="s">
        <v>397</v>
      </c>
      <c r="E22" s="632">
        <v>30</v>
      </c>
      <c r="F22" s="661">
        <f>Q20</f>
        <v>1060.9838250000003</v>
      </c>
      <c r="G22" s="680">
        <v>1.18</v>
      </c>
      <c r="I22" s="664">
        <f>G22*M6</f>
        <v>1.5305779999999998</v>
      </c>
      <c r="J22" s="667">
        <f t="shared" si="0"/>
        <v>1623.91</v>
      </c>
      <c r="K22" s="239"/>
      <c r="M22" s="656">
        <v>0.006</v>
      </c>
      <c r="N22" s="648">
        <f>I9*M22</f>
        <v>21.1404</v>
      </c>
      <c r="O22" s="657">
        <v>0.2328</v>
      </c>
      <c r="P22" s="658">
        <f>N22*1400/1000</f>
        <v>29.596559999999997</v>
      </c>
      <c r="Q22" s="659">
        <f>P22*30</f>
        <v>887.8967999999999</v>
      </c>
    </row>
    <row r="23" spans="1:10" ht="38.25">
      <c r="A23" s="334" t="s">
        <v>403</v>
      </c>
      <c r="B23" s="633">
        <v>95880</v>
      </c>
      <c r="C23" s="634" t="s">
        <v>404</v>
      </c>
      <c r="D23" s="633" t="s">
        <v>397</v>
      </c>
      <c r="E23" s="632">
        <v>30</v>
      </c>
      <c r="F23" s="661">
        <f>Q21</f>
        <v>2194.37352</v>
      </c>
      <c r="G23" s="680">
        <v>1.18</v>
      </c>
      <c r="I23" s="664">
        <f>G23*M6</f>
        <v>1.5305779999999998</v>
      </c>
      <c r="J23" s="667">
        <f t="shared" si="0"/>
        <v>3358.65</v>
      </c>
    </row>
    <row r="24" spans="1:10" ht="39" thickBot="1">
      <c r="A24" s="334" t="s">
        <v>405</v>
      </c>
      <c r="B24" s="633">
        <v>95880</v>
      </c>
      <c r="C24" s="634" t="s">
        <v>406</v>
      </c>
      <c r="D24" s="633" t="s">
        <v>397</v>
      </c>
      <c r="E24" s="632">
        <v>30</v>
      </c>
      <c r="F24" s="661">
        <f>Q22</f>
        <v>887.8967999999999</v>
      </c>
      <c r="G24" s="680">
        <v>1.18</v>
      </c>
      <c r="I24" s="664">
        <f>G24*M6</f>
        <v>1.5305779999999998</v>
      </c>
      <c r="J24" s="667">
        <f t="shared" si="0"/>
        <v>1358.99</v>
      </c>
    </row>
    <row r="25" spans="1:10" ht="13.5" thickBot="1">
      <c r="A25" s="570"/>
      <c r="B25" s="509"/>
      <c r="C25" s="510" t="s">
        <v>4</v>
      </c>
      <c r="D25" s="510"/>
      <c r="E25" s="511"/>
      <c r="F25" s="660"/>
      <c r="G25" s="513"/>
      <c r="H25" s="560">
        <f>SUM(H14:H16)</f>
        <v>118069.13400000002</v>
      </c>
      <c r="I25" s="662"/>
      <c r="J25" s="663">
        <f>J12+J14+J17</f>
        <v>200538.36</v>
      </c>
    </row>
    <row r="26" spans="1:10" ht="15.75" thickBot="1">
      <c r="A26" s="726" t="s">
        <v>45</v>
      </c>
      <c r="B26" s="727"/>
      <c r="C26" s="727"/>
      <c r="D26" s="727"/>
      <c r="E26" s="727"/>
      <c r="F26" s="727"/>
      <c r="G26" s="727"/>
      <c r="H26" s="727"/>
      <c r="I26" s="728"/>
      <c r="J26" s="324">
        <f>J25</f>
        <v>200538.36</v>
      </c>
    </row>
    <row r="27" spans="1:10" ht="18.75" thickBot="1">
      <c r="A27" s="607"/>
      <c r="B27" s="543"/>
      <c r="C27" s="544" t="s">
        <v>105</v>
      </c>
      <c r="D27" s="782" t="s">
        <v>106</v>
      </c>
      <c r="E27" s="783"/>
      <c r="F27" s="547" t="s">
        <v>0</v>
      </c>
      <c r="G27" s="548" t="s">
        <v>2</v>
      </c>
      <c r="H27" s="543"/>
      <c r="I27" s="747" t="s">
        <v>108</v>
      </c>
      <c r="J27" s="748"/>
    </row>
    <row r="28" spans="1:10" ht="18.75" thickBot="1">
      <c r="A28" s="319" t="s">
        <v>6</v>
      </c>
      <c r="B28" s="771" t="s">
        <v>348</v>
      </c>
      <c r="C28" s="772"/>
      <c r="D28" s="773" t="s">
        <v>391</v>
      </c>
      <c r="E28" s="774"/>
      <c r="F28" s="305">
        <f>J12</f>
        <v>8123.91</v>
      </c>
      <c r="G28" s="677">
        <f>I28/I31</f>
        <v>0.04051050382580171</v>
      </c>
      <c r="H28" s="676"/>
      <c r="I28" s="777">
        <f>J12</f>
        <v>8123.91</v>
      </c>
      <c r="J28" s="778"/>
    </row>
    <row r="29" spans="1:10" ht="18">
      <c r="A29" s="319" t="s">
        <v>12</v>
      </c>
      <c r="B29" s="771" t="s">
        <v>128</v>
      </c>
      <c r="C29" s="772"/>
      <c r="D29" s="773" t="str">
        <f>D16</f>
        <v>m²</v>
      </c>
      <c r="E29" s="774"/>
      <c r="F29" s="305">
        <f>J14</f>
        <v>153126.96</v>
      </c>
      <c r="G29" s="677">
        <f>I29/I31</f>
        <v>0.7635793969792114</v>
      </c>
      <c r="H29" s="676"/>
      <c r="I29" s="777">
        <f>J14</f>
        <v>153126.96</v>
      </c>
      <c r="J29" s="778"/>
    </row>
    <row r="30" spans="1:10" ht="15.75">
      <c r="A30" s="319" t="s">
        <v>13</v>
      </c>
      <c r="B30" s="771" t="s">
        <v>395</v>
      </c>
      <c r="C30" s="772"/>
      <c r="D30" s="773" t="str">
        <f>D20</f>
        <v>TXKM</v>
      </c>
      <c r="E30" s="774"/>
      <c r="F30" s="305">
        <f>J17</f>
        <v>39287.490000000005</v>
      </c>
      <c r="G30" s="216">
        <f>I30/I31</f>
        <v>0.19591009919498698</v>
      </c>
      <c r="H30" s="217"/>
      <c r="I30" s="777">
        <f>J17</f>
        <v>39287.490000000005</v>
      </c>
      <c r="J30" s="778"/>
    </row>
    <row r="31" spans="1:10" ht="18.75" thickBot="1">
      <c r="A31" s="722" t="s">
        <v>109</v>
      </c>
      <c r="B31" s="723"/>
      <c r="C31" s="723"/>
      <c r="D31" s="723"/>
      <c r="E31" s="723"/>
      <c r="F31" s="723"/>
      <c r="G31" s="550">
        <f>SUM(G28:G30)</f>
        <v>1</v>
      </c>
      <c r="H31" s="551"/>
      <c r="I31" s="741">
        <f>J25</f>
        <v>200538.36</v>
      </c>
      <c r="J31" s="742"/>
    </row>
    <row r="32" spans="10:11" ht="12.75">
      <c r="J32" s="256"/>
      <c r="K32" s="257"/>
    </row>
    <row r="33" spans="7:11" ht="12.75">
      <c r="G33" s="69"/>
      <c r="J33" s="256"/>
      <c r="K33" s="257"/>
    </row>
    <row r="34" spans="7:11" ht="12.75">
      <c r="G34" s="69"/>
      <c r="K34" s="258"/>
    </row>
    <row r="35" ht="12.75">
      <c r="G35" s="69"/>
    </row>
    <row r="36" spans="7:9" ht="12.75">
      <c r="G36" s="69"/>
      <c r="I36" s="259"/>
    </row>
    <row r="37" spans="7:9" ht="12.75">
      <c r="G37" s="69"/>
      <c r="I37" s="260"/>
    </row>
    <row r="38" ht="12.75">
      <c r="G38" s="69"/>
    </row>
    <row r="39" ht="12.75">
      <c r="G39" s="69"/>
    </row>
    <row r="40" ht="12.75">
      <c r="G40" s="69"/>
    </row>
    <row r="46" ht="12.75">
      <c r="G46" s="69"/>
    </row>
  </sheetData>
  <sheetProtection/>
  <mergeCells count="33">
    <mergeCell ref="G10:G11"/>
    <mergeCell ref="H10:H11"/>
    <mergeCell ref="G17:I17"/>
    <mergeCell ref="A31:F31"/>
    <mergeCell ref="I31:J31"/>
    <mergeCell ref="A26:I26"/>
    <mergeCell ref="I27:J27"/>
    <mergeCell ref="I30:J30"/>
    <mergeCell ref="D30:E30"/>
    <mergeCell ref="B30:C30"/>
    <mergeCell ref="D27:E27"/>
    <mergeCell ref="I28:J28"/>
    <mergeCell ref="I29:J29"/>
    <mergeCell ref="N10:N11"/>
    <mergeCell ref="B28:C28"/>
    <mergeCell ref="D28:E28"/>
    <mergeCell ref="D29:E29"/>
    <mergeCell ref="B17:C17"/>
    <mergeCell ref="D10:D11"/>
    <mergeCell ref="B12:D12"/>
    <mergeCell ref="I10:I11"/>
    <mergeCell ref="B29:C29"/>
    <mergeCell ref="J10:J11"/>
    <mergeCell ref="A1:J1"/>
    <mergeCell ref="A2:J2"/>
    <mergeCell ref="A3:J3"/>
    <mergeCell ref="A10:A11"/>
    <mergeCell ref="B10:B11"/>
    <mergeCell ref="C10:C11"/>
    <mergeCell ref="E10:E11"/>
    <mergeCell ref="G4:G5"/>
    <mergeCell ref="I4:J5"/>
    <mergeCell ref="F10:F11"/>
  </mergeCells>
  <printOptions/>
  <pageMargins left="0.31496062992125984" right="0.31496062992125984" top="0.7874015748031497" bottom="0.7874015748031497" header="0.31496062992125984" footer="0.31496062992125984"/>
  <pageSetup fitToHeight="0" fitToWidth="1" horizontalDpi="600" verticalDpi="600" orientation="landscape" paperSize="9" scale="87" r:id="rId2"/>
  <headerFooter>
    <oddFooter>&amp;CJÔNATAS KACHOROSKI
Engenheiro Civil- CREA/MS 64432/D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zoomScalePageLayoutView="0" workbookViewId="0" topLeftCell="A13">
      <selection activeCell="H25" sqref="H25"/>
    </sheetView>
  </sheetViews>
  <sheetFormatPr defaultColWidth="10.28125" defaultRowHeight="12.75"/>
  <cols>
    <col min="1" max="1" width="10.57421875" style="98" customWidth="1"/>
    <col min="2" max="2" width="14.8515625" style="102" customWidth="1"/>
    <col min="3" max="3" width="32.57421875" style="102" customWidth="1"/>
    <col min="4" max="7" width="17.28125" style="144" customWidth="1"/>
    <col min="8" max="8" width="16.7109375" style="143" customWidth="1"/>
    <col min="9" max="9" width="10.00390625" style="98" customWidth="1"/>
    <col min="10" max="10" width="16.28125" style="98" bestFit="1" customWidth="1"/>
    <col min="11" max="11" width="12.00390625" style="98" bestFit="1" customWidth="1"/>
    <col min="12" max="12" width="12.00390625" style="98" customWidth="1"/>
    <col min="13" max="16384" width="10.28125" style="98" customWidth="1"/>
  </cols>
  <sheetData>
    <row r="1" spans="1:8" s="94" customFormat="1" ht="51" customHeight="1" thickBot="1" thickTop="1">
      <c r="A1" s="787" t="s">
        <v>190</v>
      </c>
      <c r="B1" s="790" t="s">
        <v>191</v>
      </c>
      <c r="C1" s="791"/>
      <c r="D1" s="91" t="s">
        <v>382</v>
      </c>
      <c r="E1" s="91" t="s">
        <v>383</v>
      </c>
      <c r="F1" s="91" t="s">
        <v>384</v>
      </c>
      <c r="G1" s="92" t="s">
        <v>385</v>
      </c>
      <c r="H1" s="93" t="s">
        <v>25</v>
      </c>
    </row>
    <row r="2" spans="1:14" ht="18.75" customHeight="1" thickTop="1">
      <c r="A2" s="788"/>
      <c r="B2" s="792" t="s">
        <v>192</v>
      </c>
      <c r="C2" s="793"/>
      <c r="D2" s="95">
        <v>213</v>
      </c>
      <c r="E2" s="95">
        <v>63</v>
      </c>
      <c r="F2" s="95">
        <v>50</v>
      </c>
      <c r="G2" s="96">
        <v>35</v>
      </c>
      <c r="H2" s="97">
        <f>SUM(D2:G2)</f>
        <v>361</v>
      </c>
      <c r="J2" s="794" t="s">
        <v>193</v>
      </c>
      <c r="K2" s="794"/>
      <c r="L2" s="794"/>
      <c r="M2" s="794"/>
      <c r="N2" s="98" t="s">
        <v>194</v>
      </c>
    </row>
    <row r="3" spans="1:14" s="102" customFormat="1" ht="18.75" customHeight="1">
      <c r="A3" s="788"/>
      <c r="B3" s="795" t="s">
        <v>195</v>
      </c>
      <c r="C3" s="796"/>
      <c r="D3" s="99" t="s">
        <v>196</v>
      </c>
      <c r="E3" s="99" t="s">
        <v>196</v>
      </c>
      <c r="F3" s="99" t="s">
        <v>196</v>
      </c>
      <c r="G3" s="100" t="s">
        <v>196</v>
      </c>
      <c r="H3" s="101" t="s">
        <v>78</v>
      </c>
      <c r="J3" s="794"/>
      <c r="K3" s="794"/>
      <c r="L3" s="794"/>
      <c r="M3" s="794"/>
      <c r="N3" s="98" t="s">
        <v>196</v>
      </c>
    </row>
    <row r="4" spans="1:8" s="102" customFormat="1" ht="18.75" customHeight="1">
      <c r="A4" s="788"/>
      <c r="B4" s="795" t="s">
        <v>197</v>
      </c>
      <c r="C4" s="796"/>
      <c r="D4" s="103">
        <v>11.4</v>
      </c>
      <c r="E4" s="103">
        <v>7.4</v>
      </c>
      <c r="F4" s="103">
        <v>7.4</v>
      </c>
      <c r="G4" s="104">
        <v>7.4</v>
      </c>
      <c r="H4" s="105" t="s">
        <v>78</v>
      </c>
    </row>
    <row r="5" spans="1:8" s="102" customFormat="1" ht="18.75" customHeight="1">
      <c r="A5" s="788"/>
      <c r="B5" s="795" t="s">
        <v>198</v>
      </c>
      <c r="C5" s="796"/>
      <c r="D5" s="243">
        <v>0</v>
      </c>
      <c r="E5" s="243">
        <v>0</v>
      </c>
      <c r="F5" s="243">
        <v>0</v>
      </c>
      <c r="G5" s="244">
        <v>0</v>
      </c>
      <c r="H5" s="106">
        <f>SUM(D5:G5)</f>
        <v>0</v>
      </c>
    </row>
    <row r="6" spans="1:8" s="102" customFormat="1" ht="18.75" customHeight="1">
      <c r="A6" s="788"/>
      <c r="B6" s="797" t="s">
        <v>199</v>
      </c>
      <c r="C6" s="798"/>
      <c r="D6" s="103">
        <v>0</v>
      </c>
      <c r="E6" s="103">
        <v>0</v>
      </c>
      <c r="F6" s="103">
        <v>0</v>
      </c>
      <c r="G6" s="104">
        <v>0</v>
      </c>
      <c r="H6" s="105" t="s">
        <v>78</v>
      </c>
    </row>
    <row r="7" spans="1:8" ht="18.75" customHeight="1" thickBot="1">
      <c r="A7" s="788"/>
      <c r="B7" s="799" t="s">
        <v>200</v>
      </c>
      <c r="C7" s="800"/>
      <c r="D7" s="107">
        <f>D5*D6</f>
        <v>0</v>
      </c>
      <c r="E7" s="107">
        <f>E5*E6</f>
        <v>0</v>
      </c>
      <c r="F7" s="107">
        <f>F5*F6</f>
        <v>0</v>
      </c>
      <c r="G7" s="108">
        <f>G5*G6</f>
        <v>0</v>
      </c>
      <c r="H7" s="109">
        <f>SUM(D7:G7)</f>
        <v>0</v>
      </c>
    </row>
    <row r="8" spans="1:8" ht="18.75" customHeight="1">
      <c r="A8" s="788"/>
      <c r="B8" s="803" t="s">
        <v>259</v>
      </c>
      <c r="C8" s="110" t="s">
        <v>201</v>
      </c>
      <c r="D8" s="245">
        <v>0</v>
      </c>
      <c r="E8" s="245">
        <v>0</v>
      </c>
      <c r="F8" s="245">
        <v>0</v>
      </c>
      <c r="G8" s="246">
        <v>0</v>
      </c>
      <c r="H8" s="111">
        <f>SUM(D8:G8)</f>
        <v>0</v>
      </c>
    </row>
    <row r="9" spans="1:8" ht="18.75" customHeight="1">
      <c r="A9" s="788"/>
      <c r="B9" s="804"/>
      <c r="C9" s="112" t="s">
        <v>202</v>
      </c>
      <c r="D9" s="113">
        <v>0.3</v>
      </c>
      <c r="E9" s="113">
        <v>0.3</v>
      </c>
      <c r="F9" s="113">
        <v>0.3</v>
      </c>
      <c r="G9" s="114">
        <v>0.3</v>
      </c>
      <c r="H9" s="115" t="s">
        <v>78</v>
      </c>
    </row>
    <row r="10" spans="1:8" ht="18.75" customHeight="1">
      <c r="A10" s="788"/>
      <c r="B10" s="804"/>
      <c r="C10" s="112" t="s">
        <v>203</v>
      </c>
      <c r="D10" s="113">
        <v>1</v>
      </c>
      <c r="E10" s="113">
        <v>1</v>
      </c>
      <c r="F10" s="113">
        <v>1</v>
      </c>
      <c r="G10" s="114">
        <v>1</v>
      </c>
      <c r="H10" s="115" t="s">
        <v>78</v>
      </c>
    </row>
    <row r="11" spans="1:8" ht="18.75" customHeight="1">
      <c r="A11" s="788"/>
      <c r="B11" s="804"/>
      <c r="C11" s="112" t="s">
        <v>204</v>
      </c>
      <c r="D11" s="116">
        <f>D8*(1+D9)*D10</f>
        <v>0</v>
      </c>
      <c r="E11" s="116">
        <f>E8*(1+E9)*E10</f>
        <v>0</v>
      </c>
      <c r="F11" s="116">
        <f>F8*(1+F9)*F10</f>
        <v>0</v>
      </c>
      <c r="G11" s="117">
        <f>G8*(1+G9)*G10</f>
        <v>0</v>
      </c>
      <c r="H11" s="115">
        <f>SUM(D11:G11)</f>
        <v>0</v>
      </c>
    </row>
    <row r="12" spans="1:8" ht="18.75" customHeight="1" thickBot="1">
      <c r="A12" s="788"/>
      <c r="B12" s="805"/>
      <c r="C12" s="112" t="s">
        <v>205</v>
      </c>
      <c r="D12" s="118">
        <f>D8*(1+D9)*(1-D10)</f>
        <v>0</v>
      </c>
      <c r="E12" s="118">
        <f>E8*(1+E9)*(1-E10)</f>
        <v>0</v>
      </c>
      <c r="F12" s="118">
        <f>F8*(1+F9)*(1-F10)</f>
        <v>0</v>
      </c>
      <c r="G12" s="119">
        <f>G8*(1+G9)*(1-G10)</f>
        <v>0</v>
      </c>
      <c r="H12" s="109">
        <f>SUM(D12:G12)</f>
        <v>0</v>
      </c>
    </row>
    <row r="13" spans="1:8" ht="18.75" customHeight="1">
      <c r="A13" s="788"/>
      <c r="B13" s="803" t="s">
        <v>206</v>
      </c>
      <c r="C13" s="110" t="s">
        <v>207</v>
      </c>
      <c r="D13" s="245">
        <f>D8</f>
        <v>0</v>
      </c>
      <c r="E13" s="245">
        <f>E8</f>
        <v>0</v>
      </c>
      <c r="F13" s="245">
        <f>F8</f>
        <v>0</v>
      </c>
      <c r="G13" s="246">
        <f>G8</f>
        <v>0</v>
      </c>
      <c r="H13" s="111">
        <f>SUM(D13:G13)</f>
        <v>0</v>
      </c>
    </row>
    <row r="14" spans="1:8" ht="18.75" customHeight="1">
      <c r="A14" s="788"/>
      <c r="B14" s="804"/>
      <c r="C14" s="112" t="s">
        <v>208</v>
      </c>
      <c r="D14" s="113">
        <v>0.3</v>
      </c>
      <c r="E14" s="113">
        <v>0.3</v>
      </c>
      <c r="F14" s="113">
        <v>0.3</v>
      </c>
      <c r="G14" s="114">
        <v>0.3</v>
      </c>
      <c r="H14" s="115" t="s">
        <v>78</v>
      </c>
    </row>
    <row r="15" spans="1:8" ht="26.25" customHeight="1" thickBot="1">
      <c r="A15" s="788"/>
      <c r="B15" s="805"/>
      <c r="C15" s="120" t="s">
        <v>209</v>
      </c>
      <c r="D15" s="107">
        <f>MAX(D13*(1+D14)-D12,0)</f>
        <v>0</v>
      </c>
      <c r="E15" s="107">
        <f>MAX(E13*(1+E14)-E12,0)</f>
        <v>0</v>
      </c>
      <c r="F15" s="107">
        <f>MAX(F13*(1+F14)-F12,0)</f>
        <v>0</v>
      </c>
      <c r="G15" s="108">
        <f>MAX(G13*(1+G14)-G12,0)</f>
        <v>0</v>
      </c>
      <c r="H15" s="109">
        <f>SUM(D15:G15)</f>
        <v>0</v>
      </c>
    </row>
    <row r="16" spans="1:8" ht="18.75" customHeight="1">
      <c r="A16" s="788"/>
      <c r="B16" s="806" t="s">
        <v>210</v>
      </c>
      <c r="C16" s="121" t="s">
        <v>211</v>
      </c>
      <c r="D16" s="122">
        <f>IF(D3="SIMPLES",D4+0.52+0.22,D4+0.52*2)</f>
        <v>12.440000000000001</v>
      </c>
      <c r="E16" s="122">
        <f>IF(E3="SIMPLES",E4+0.52+0.22,E4+0.52*2)</f>
        <v>8.440000000000001</v>
      </c>
      <c r="F16" s="122">
        <f>IF(F3="SIMPLES",F4+0.52+0.22,F4+0.52*2)</f>
        <v>8.440000000000001</v>
      </c>
      <c r="G16" s="123">
        <f>IF(G3="SIMPLES",G4+0.52+0.22,G4+0.52*2)</f>
        <v>8.440000000000001</v>
      </c>
      <c r="H16" s="124" t="s">
        <v>78</v>
      </c>
    </row>
    <row r="17" spans="1:8" ht="18.75" customHeight="1" thickBot="1">
      <c r="A17" s="788"/>
      <c r="B17" s="807"/>
      <c r="C17" s="120" t="s">
        <v>212</v>
      </c>
      <c r="D17" s="107">
        <f>D16*D2+D7</f>
        <v>2649.7200000000003</v>
      </c>
      <c r="E17" s="107">
        <f>E16*E2+E7</f>
        <v>531.72</v>
      </c>
      <c r="F17" s="107">
        <f>F16*F2+F7</f>
        <v>422.00000000000006</v>
      </c>
      <c r="G17" s="108">
        <f>G16*G2+G7</f>
        <v>295.40000000000003</v>
      </c>
      <c r="H17" s="109">
        <f>SUM(D17:G17)</f>
        <v>3898.8400000000006</v>
      </c>
    </row>
    <row r="18" spans="1:8" ht="18.75" customHeight="1">
      <c r="A18" s="788"/>
      <c r="B18" s="803" t="s">
        <v>213</v>
      </c>
      <c r="C18" s="125" t="s">
        <v>188</v>
      </c>
      <c r="D18" s="103" t="s">
        <v>347</v>
      </c>
      <c r="E18" s="103" t="s">
        <v>347</v>
      </c>
      <c r="F18" s="103" t="s">
        <v>347</v>
      </c>
      <c r="G18" s="104" t="s">
        <v>347</v>
      </c>
      <c r="H18" s="105" t="s">
        <v>78</v>
      </c>
    </row>
    <row r="19" spans="1:8" ht="18.75" customHeight="1">
      <c r="A19" s="788"/>
      <c r="B19" s="804"/>
      <c r="C19" s="112" t="s">
        <v>214</v>
      </c>
      <c r="D19" s="126">
        <v>15</v>
      </c>
      <c r="E19" s="126">
        <v>15</v>
      </c>
      <c r="F19" s="126">
        <v>15</v>
      </c>
      <c r="G19" s="127">
        <v>15</v>
      </c>
      <c r="H19" s="101" t="s">
        <v>78</v>
      </c>
    </row>
    <row r="20" spans="1:8" ht="18.75" customHeight="1">
      <c r="A20" s="788"/>
      <c r="B20" s="804"/>
      <c r="C20" s="125" t="s">
        <v>215</v>
      </c>
      <c r="D20" s="113">
        <v>0.3</v>
      </c>
      <c r="E20" s="113">
        <v>0.3</v>
      </c>
      <c r="F20" s="113">
        <v>0.3</v>
      </c>
      <c r="G20" s="114">
        <v>0.3</v>
      </c>
      <c r="H20" s="101" t="s">
        <v>78</v>
      </c>
    </row>
    <row r="21" spans="1:8" ht="18.75" customHeight="1">
      <c r="A21" s="788"/>
      <c r="B21" s="804"/>
      <c r="C21" s="112" t="s">
        <v>211</v>
      </c>
      <c r="D21" s="116">
        <f>D16</f>
        <v>12.440000000000001</v>
      </c>
      <c r="E21" s="116">
        <f>E16</f>
        <v>8.440000000000001</v>
      </c>
      <c r="F21" s="116">
        <f>F16</f>
        <v>8.440000000000001</v>
      </c>
      <c r="G21" s="117">
        <f>G16</f>
        <v>8.440000000000001</v>
      </c>
      <c r="H21" s="101" t="s">
        <v>78</v>
      </c>
    </row>
    <row r="22" spans="1:8" ht="18.75" customHeight="1">
      <c r="A22" s="788"/>
      <c r="B22" s="804"/>
      <c r="C22" s="112" t="s">
        <v>216</v>
      </c>
      <c r="D22" s="116">
        <f>D2*D21*D19/100+D7*D19/100</f>
        <v>397.458</v>
      </c>
      <c r="E22" s="116">
        <f>E2*E21*E19/100+E7*E19/100</f>
        <v>79.758</v>
      </c>
      <c r="F22" s="116">
        <f>F2*F21*F19/100+F7*F19/100</f>
        <v>63.30000000000001</v>
      </c>
      <c r="G22" s="117">
        <f>G2*G21*G19/100+G7*G19/100</f>
        <v>44.31000000000001</v>
      </c>
      <c r="H22" s="128">
        <f>SUM(D22:G22)</f>
        <v>584.8260000000001</v>
      </c>
    </row>
    <row r="23" spans="1:8" ht="18.75" customHeight="1" thickBot="1">
      <c r="A23" s="788"/>
      <c r="B23" s="805"/>
      <c r="C23" s="125" t="s">
        <v>217</v>
      </c>
      <c r="D23" s="129">
        <f>D22*(1+D20)</f>
        <v>516.6954000000001</v>
      </c>
      <c r="E23" s="129">
        <f>E22*(1+E20)</f>
        <v>103.6854</v>
      </c>
      <c r="F23" s="129">
        <f>F22*(1+F20)</f>
        <v>82.29000000000002</v>
      </c>
      <c r="G23" s="130">
        <f>G22*(1+G20)</f>
        <v>57.603000000000016</v>
      </c>
      <c r="H23" s="115">
        <f>SUM(D23:G23)</f>
        <v>760.2738000000002</v>
      </c>
    </row>
    <row r="24" spans="1:8" ht="18.75" customHeight="1">
      <c r="A24" s="788"/>
      <c r="B24" s="808" t="s">
        <v>218</v>
      </c>
      <c r="C24" s="110" t="s">
        <v>211</v>
      </c>
      <c r="D24" s="131">
        <f>D4</f>
        <v>11.4</v>
      </c>
      <c r="E24" s="131">
        <f>E4</f>
        <v>7.4</v>
      </c>
      <c r="F24" s="131">
        <f>F4</f>
        <v>7.4</v>
      </c>
      <c r="G24" s="132">
        <f>G4</f>
        <v>7.4</v>
      </c>
      <c r="H24" s="133" t="s">
        <v>78</v>
      </c>
    </row>
    <row r="25" spans="1:8" ht="18.75" customHeight="1">
      <c r="A25" s="788"/>
      <c r="B25" s="809"/>
      <c r="C25" s="112" t="s">
        <v>219</v>
      </c>
      <c r="D25" s="116">
        <f>D2*D24+D7</f>
        <v>2428.2000000000003</v>
      </c>
      <c r="E25" s="116">
        <f>E2*E24+E7</f>
        <v>466.20000000000005</v>
      </c>
      <c r="F25" s="116">
        <f>F2*F24+F7</f>
        <v>370</v>
      </c>
      <c r="G25" s="117">
        <f>G2*G24+G7</f>
        <v>259</v>
      </c>
      <c r="H25" s="128">
        <f>SUM(D25:G25)</f>
        <v>3523.4000000000005</v>
      </c>
    </row>
    <row r="26" spans="1:8" ht="18.75" customHeight="1" thickBot="1">
      <c r="A26" s="788"/>
      <c r="B26" s="810"/>
      <c r="C26" s="120" t="s">
        <v>220</v>
      </c>
      <c r="D26" s="134">
        <f>0.0012*D25</f>
        <v>2.91384</v>
      </c>
      <c r="E26" s="134">
        <f>0.0012*E25</f>
        <v>0.55944</v>
      </c>
      <c r="F26" s="134">
        <f>0.0012*F25</f>
        <v>0.44399999999999995</v>
      </c>
      <c r="G26" s="135">
        <f>0.0012*G25</f>
        <v>0.31079999999999997</v>
      </c>
      <c r="H26" s="109">
        <f>SUM(D26:G26)</f>
        <v>4.22808</v>
      </c>
    </row>
    <row r="27" spans="1:8" ht="18.75" customHeight="1">
      <c r="A27" s="788"/>
      <c r="B27" s="811" t="s">
        <v>221</v>
      </c>
      <c r="C27" s="136" t="s">
        <v>211</v>
      </c>
      <c r="D27" s="131">
        <f>D24</f>
        <v>11.4</v>
      </c>
      <c r="E27" s="131">
        <f>E24</f>
        <v>7.4</v>
      </c>
      <c r="F27" s="131">
        <f>F24</f>
        <v>7.4</v>
      </c>
      <c r="G27" s="132">
        <f>G24</f>
        <v>7.4</v>
      </c>
      <c r="H27" s="133" t="s">
        <v>78</v>
      </c>
    </row>
    <row r="28" spans="1:8" ht="18.75" customHeight="1">
      <c r="A28" s="788"/>
      <c r="B28" s="812"/>
      <c r="C28" s="112" t="s">
        <v>219</v>
      </c>
      <c r="D28" s="122">
        <f>D2*D27+D7</f>
        <v>2428.2000000000003</v>
      </c>
      <c r="E28" s="122">
        <f>E2*E27+E7</f>
        <v>466.20000000000005</v>
      </c>
      <c r="F28" s="122">
        <f>F2*F27+F7</f>
        <v>370</v>
      </c>
      <c r="G28" s="123">
        <f>G2*G27+G7</f>
        <v>259</v>
      </c>
      <c r="H28" s="137">
        <f>SUM(D28:G28)</f>
        <v>3523.4000000000005</v>
      </c>
    </row>
    <row r="29" spans="1:8" ht="18.75" customHeight="1">
      <c r="A29" s="788"/>
      <c r="B29" s="812"/>
      <c r="C29" s="112" t="s">
        <v>222</v>
      </c>
      <c r="D29" s="138">
        <f>(0.0225)*D28</f>
        <v>54.6345</v>
      </c>
      <c r="E29" s="138">
        <f>(0.0225)*E28</f>
        <v>10.489500000000001</v>
      </c>
      <c r="F29" s="138">
        <f>(0.0225)*F28</f>
        <v>8.325</v>
      </c>
      <c r="G29" s="117">
        <f>(0.0225)*G28</f>
        <v>5.8275</v>
      </c>
      <c r="H29" s="128">
        <f>SUM(D29:G29)</f>
        <v>79.27650000000001</v>
      </c>
    </row>
    <row r="30" spans="1:8" ht="18.75" customHeight="1" thickBot="1">
      <c r="A30" s="788"/>
      <c r="B30" s="813"/>
      <c r="C30" s="120" t="s">
        <v>223</v>
      </c>
      <c r="D30" s="139">
        <f>(0.0031)*D28</f>
        <v>7.52742</v>
      </c>
      <c r="E30" s="139">
        <f>(0.0031)*E28</f>
        <v>1.4452200000000002</v>
      </c>
      <c r="F30" s="139">
        <f>(0.0031)*F28</f>
        <v>1.147</v>
      </c>
      <c r="G30" s="108">
        <f>(0.0031)*G28</f>
        <v>0.8029</v>
      </c>
      <c r="H30" s="109">
        <f>SUM(D30:G30)</f>
        <v>10.92254</v>
      </c>
    </row>
    <row r="31" spans="1:8" s="102" customFormat="1" ht="30" customHeight="1" thickBot="1">
      <c r="A31" s="789"/>
      <c r="B31" s="801" t="s">
        <v>224</v>
      </c>
      <c r="C31" s="802"/>
      <c r="D31" s="140"/>
      <c r="E31" s="140"/>
      <c r="F31" s="140"/>
      <c r="G31" s="140"/>
      <c r="H31" s="141" t="s">
        <v>78</v>
      </c>
    </row>
    <row r="32" spans="4:7" ht="13.5" thickTop="1">
      <c r="D32" s="142"/>
      <c r="E32" s="142"/>
      <c r="F32" s="142"/>
      <c r="G32" s="102"/>
    </row>
  </sheetData>
  <sheetProtection/>
  <mergeCells count="16">
    <mergeCell ref="B8:B12"/>
    <mergeCell ref="B13:B15"/>
    <mergeCell ref="B16:B17"/>
    <mergeCell ref="B18:B23"/>
    <mergeCell ref="B24:B26"/>
    <mergeCell ref="B27:B30"/>
    <mergeCell ref="A1:A31"/>
    <mergeCell ref="B1:C1"/>
    <mergeCell ref="B2:C2"/>
    <mergeCell ref="J2:M3"/>
    <mergeCell ref="B3:C3"/>
    <mergeCell ref="B4:C4"/>
    <mergeCell ref="B5:C5"/>
    <mergeCell ref="B6:C6"/>
    <mergeCell ref="B7:C7"/>
    <mergeCell ref="B31:C31"/>
  </mergeCells>
  <dataValidations count="1">
    <dataValidation type="list" allowBlank="1" showInputMessage="1" showErrorMessage="1" sqref="D3:G3">
      <formula1>$N$2:$N$3</formula1>
    </dataValidation>
  </dataValidations>
  <printOptions/>
  <pageMargins left="0.7874015748031497" right="0.5118110236220472" top="0.7874015748031497" bottom="0.984251968503937" header="0.31496062992125984" footer="0.31496062992125984"/>
  <pageSetup fitToHeight="1" fitToWidth="1" horizontalDpi="600" verticalDpi="600" orientation="portrait" paperSize="9" scale="63" r:id="rId1"/>
  <headerFooter>
    <oddFooter>&amp;CJordana Mileni Bertuzzi Saldanha Martins
Engenheira Civil - CREA/MS 20365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"/>
  <sheetViews>
    <sheetView zoomScalePageLayoutView="0" workbookViewId="0" topLeftCell="A1">
      <selection activeCell="I21" sqref="I21"/>
    </sheetView>
  </sheetViews>
  <sheetFormatPr defaultColWidth="10.28125" defaultRowHeight="12.75"/>
  <cols>
    <col min="1" max="1" width="9.7109375" style="98" customWidth="1"/>
    <col min="2" max="2" width="14.421875" style="102" customWidth="1"/>
    <col min="3" max="3" width="29.28125" style="102" customWidth="1"/>
    <col min="4" max="11" width="17.28125" style="144" customWidth="1"/>
    <col min="12" max="12" width="16.7109375" style="143" customWidth="1"/>
    <col min="13" max="13" width="12.57421875" style="98" customWidth="1"/>
    <col min="14" max="16384" width="10.28125" style="98" customWidth="1"/>
  </cols>
  <sheetData>
    <row r="1" spans="1:12" s="94" customFormat="1" ht="41.25" customHeight="1" thickBot="1" thickTop="1">
      <c r="A1" s="787" t="s">
        <v>225</v>
      </c>
      <c r="B1" s="816" t="s">
        <v>191</v>
      </c>
      <c r="C1" s="816"/>
      <c r="D1" s="145" t="s">
        <v>263</v>
      </c>
      <c r="E1" s="92" t="s">
        <v>266</v>
      </c>
      <c r="F1" s="92" t="s">
        <v>265</v>
      </c>
      <c r="G1" s="92" t="s">
        <v>343</v>
      </c>
      <c r="H1" s="92" t="s">
        <v>344</v>
      </c>
      <c r="I1" s="92" t="s">
        <v>346</v>
      </c>
      <c r="J1" s="92" t="s">
        <v>345</v>
      </c>
      <c r="K1" s="92" t="s">
        <v>267</v>
      </c>
      <c r="L1" s="146" t="s">
        <v>25</v>
      </c>
    </row>
    <row r="2" spans="1:16" ht="18" customHeight="1" thickBot="1" thickTop="1">
      <c r="A2" s="788"/>
      <c r="B2" s="792" t="s">
        <v>226</v>
      </c>
      <c r="C2" s="817"/>
      <c r="D2" s="147">
        <f>'PAV. TSD'!D2</f>
        <v>213</v>
      </c>
      <c r="E2" s="148">
        <f>'PAV. TSD'!G2</f>
        <v>35</v>
      </c>
      <c r="F2" s="148" t="e">
        <f>'PAV. TSD'!#REF!</f>
        <v>#REF!</v>
      </c>
      <c r="G2" s="96">
        <v>432.7</v>
      </c>
      <c r="H2" s="96">
        <v>432.7</v>
      </c>
      <c r="I2" s="96">
        <v>212</v>
      </c>
      <c r="J2" s="96">
        <v>212</v>
      </c>
      <c r="K2" s="148">
        <f>7*3</f>
        <v>21</v>
      </c>
      <c r="L2" s="149" t="e">
        <f>SUM(D2:K2)</f>
        <v>#REF!</v>
      </c>
      <c r="N2" s="818" t="s">
        <v>193</v>
      </c>
      <c r="O2" s="818"/>
      <c r="P2" s="818"/>
    </row>
    <row r="3" spans="1:16" ht="18" customHeight="1">
      <c r="A3" s="788"/>
      <c r="B3" s="819" t="s">
        <v>227</v>
      </c>
      <c r="C3" s="110" t="s">
        <v>228</v>
      </c>
      <c r="D3" s="150">
        <f aca="true" t="shared" si="0" ref="D3:J3">D2*2+10</f>
        <v>436</v>
      </c>
      <c r="E3" s="151">
        <f t="shared" si="0"/>
        <v>80</v>
      </c>
      <c r="F3" s="151" t="e">
        <f t="shared" si="0"/>
        <v>#REF!</v>
      </c>
      <c r="G3" s="151">
        <f t="shared" si="0"/>
        <v>875.4</v>
      </c>
      <c r="H3" s="151">
        <f t="shared" si="0"/>
        <v>875.4</v>
      </c>
      <c r="I3" s="151">
        <f t="shared" si="0"/>
        <v>434</v>
      </c>
      <c r="J3" s="151">
        <f t="shared" si="0"/>
        <v>434</v>
      </c>
      <c r="K3" s="151">
        <f>7*3*2</f>
        <v>42</v>
      </c>
      <c r="L3" s="152" t="e">
        <f>SUM(D3:K3)</f>
        <v>#REF!</v>
      </c>
      <c r="N3" s="818"/>
      <c r="O3" s="818"/>
      <c r="P3" s="818"/>
    </row>
    <row r="4" spans="1:16" ht="18" customHeight="1">
      <c r="A4" s="788"/>
      <c r="B4" s="820"/>
      <c r="C4" s="112" t="s">
        <v>229</v>
      </c>
      <c r="D4" s="153">
        <v>0</v>
      </c>
      <c r="E4" s="154">
        <v>0</v>
      </c>
      <c r="F4" s="154">
        <v>0</v>
      </c>
      <c r="G4" s="154">
        <v>0</v>
      </c>
      <c r="H4" s="154">
        <v>0</v>
      </c>
      <c r="I4" s="154">
        <v>0</v>
      </c>
      <c r="J4" s="154">
        <v>0</v>
      </c>
      <c r="K4" s="154">
        <v>0</v>
      </c>
      <c r="L4" s="155">
        <f>SUM(D4:K4)</f>
        <v>0</v>
      </c>
      <c r="N4" s="818"/>
      <c r="O4" s="818"/>
      <c r="P4" s="818"/>
    </row>
    <row r="5" spans="1:12" ht="18" customHeight="1">
      <c r="A5" s="788"/>
      <c r="B5" s="820"/>
      <c r="C5" s="112" t="s">
        <v>230</v>
      </c>
      <c r="D5" s="153">
        <v>6.4</v>
      </c>
      <c r="E5" s="154">
        <f>8.4</f>
        <v>8.4</v>
      </c>
      <c r="F5" s="154">
        <f>5.1*4</f>
        <v>20.4</v>
      </c>
      <c r="G5" s="154">
        <f>5.1*4</f>
        <v>20.4</v>
      </c>
      <c r="H5" s="154">
        <f>5.1*4</f>
        <v>20.4</v>
      </c>
      <c r="I5" s="154">
        <f>5.1*4</f>
        <v>20.4</v>
      </c>
      <c r="J5" s="154">
        <f>5.1*4</f>
        <v>20.4</v>
      </c>
      <c r="K5" s="154">
        <v>8.4</v>
      </c>
      <c r="L5" s="155">
        <f>SUM(D5:K5)</f>
        <v>125.20000000000002</v>
      </c>
    </row>
    <row r="6" spans="1:12" ht="25.5" customHeight="1">
      <c r="A6" s="788"/>
      <c r="B6" s="821"/>
      <c r="C6" s="125" t="s">
        <v>231</v>
      </c>
      <c r="D6" s="156">
        <v>0.579</v>
      </c>
      <c r="E6" s="157">
        <v>0.579</v>
      </c>
      <c r="F6" s="157">
        <v>0.579</v>
      </c>
      <c r="G6" s="157">
        <v>0.579</v>
      </c>
      <c r="H6" s="157">
        <v>0.579</v>
      </c>
      <c r="I6" s="157">
        <v>0.579</v>
      </c>
      <c r="J6" s="157">
        <v>0.579</v>
      </c>
      <c r="K6" s="157">
        <v>0.579</v>
      </c>
      <c r="L6" s="155" t="s">
        <v>78</v>
      </c>
    </row>
    <row r="7" spans="1:12" ht="18" customHeight="1">
      <c r="A7" s="788"/>
      <c r="B7" s="821"/>
      <c r="C7" s="125" t="s">
        <v>232</v>
      </c>
      <c r="D7" s="158">
        <f aca="true" t="shared" si="1" ref="D7:K7">0.0615*D3+0.0285*D4+0.033*D5</f>
        <v>27.0252</v>
      </c>
      <c r="E7" s="159">
        <f t="shared" si="1"/>
        <v>5.1972</v>
      </c>
      <c r="F7" s="159" t="e">
        <f t="shared" si="1"/>
        <v>#REF!</v>
      </c>
      <c r="G7" s="159">
        <f t="shared" si="1"/>
        <v>54.5103</v>
      </c>
      <c r="H7" s="159">
        <f t="shared" si="1"/>
        <v>54.5103</v>
      </c>
      <c r="I7" s="159">
        <f t="shared" si="1"/>
        <v>27.3642</v>
      </c>
      <c r="J7" s="159">
        <f t="shared" si="1"/>
        <v>27.3642</v>
      </c>
      <c r="K7" s="159">
        <f t="shared" si="1"/>
        <v>2.8602000000000003</v>
      </c>
      <c r="L7" s="155" t="e">
        <f>SUM(D7:K7)</f>
        <v>#REF!</v>
      </c>
    </row>
    <row r="8" spans="1:15" ht="18" customHeight="1" thickBot="1">
      <c r="A8" s="788"/>
      <c r="B8" s="822"/>
      <c r="C8" s="120" t="s">
        <v>233</v>
      </c>
      <c r="D8" s="160">
        <f aca="true" t="shared" si="2" ref="D8:K8">D6*D7</f>
        <v>15.6475908</v>
      </c>
      <c r="E8" s="161">
        <f t="shared" si="2"/>
        <v>3.0091787999999995</v>
      </c>
      <c r="F8" s="161" t="e">
        <f t="shared" si="2"/>
        <v>#REF!</v>
      </c>
      <c r="G8" s="161">
        <f t="shared" si="2"/>
        <v>31.561463699999997</v>
      </c>
      <c r="H8" s="161">
        <f t="shared" si="2"/>
        <v>31.561463699999997</v>
      </c>
      <c r="I8" s="161">
        <f t="shared" si="2"/>
        <v>15.843871799999999</v>
      </c>
      <c r="J8" s="161">
        <f t="shared" si="2"/>
        <v>15.843871799999999</v>
      </c>
      <c r="K8" s="161">
        <f t="shared" si="2"/>
        <v>1.6560558</v>
      </c>
      <c r="L8" s="155" t="e">
        <f>SUM(D8:K8)</f>
        <v>#REF!</v>
      </c>
      <c r="O8" s="225">
        <f>E2+D2</f>
        <v>248</v>
      </c>
    </row>
    <row r="9" spans="1:12" s="102" customFormat="1" ht="35.25" customHeight="1" thickBot="1">
      <c r="A9" s="789"/>
      <c r="B9" s="814" t="s">
        <v>189</v>
      </c>
      <c r="C9" s="815"/>
      <c r="D9" s="162"/>
      <c r="E9" s="163"/>
      <c r="F9" s="163"/>
      <c r="G9" s="163"/>
      <c r="H9" s="163"/>
      <c r="I9" s="163"/>
      <c r="J9" s="163"/>
      <c r="K9" s="163"/>
      <c r="L9" s="164"/>
    </row>
    <row r="10" spans="4:11" ht="13.5" thickTop="1">
      <c r="D10" s="102"/>
      <c r="E10" s="102"/>
      <c r="F10" s="102"/>
      <c r="G10" s="102"/>
      <c r="H10" s="102"/>
      <c r="I10" s="102"/>
      <c r="J10" s="102"/>
      <c r="K10" s="102"/>
    </row>
  </sheetData>
  <sheetProtection/>
  <mergeCells count="6">
    <mergeCell ref="B9:C9"/>
    <mergeCell ref="A1:A9"/>
    <mergeCell ref="B1:C1"/>
    <mergeCell ref="B2:C2"/>
    <mergeCell ref="N2:P4"/>
    <mergeCell ref="B3:B8"/>
  </mergeCells>
  <printOptions/>
  <pageMargins left="0.984251968503937" right="0.5118110236220472" top="0.7874015748031497" bottom="0.984251968503937" header="0.31496062992125984" footer="0.31496062992125984"/>
  <pageSetup fitToHeight="1" fitToWidth="1" horizontalDpi="600" verticalDpi="600" orientation="landscape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PageLayoutView="0" workbookViewId="0" topLeftCell="A1">
      <selection activeCell="H12" sqref="H12:H13"/>
    </sheetView>
  </sheetViews>
  <sheetFormatPr defaultColWidth="9.140625" defaultRowHeight="12.75"/>
  <cols>
    <col min="1" max="1" width="8.7109375" style="171" customWidth="1"/>
    <col min="2" max="2" width="10.421875" style="170" customWidth="1"/>
    <col min="3" max="3" width="10.8515625" style="171" customWidth="1"/>
    <col min="4" max="4" width="11.28125" style="171" customWidth="1"/>
    <col min="5" max="5" width="30.57421875" style="171" customWidth="1"/>
    <col min="6" max="6" width="14.28125" style="199" customWidth="1"/>
    <col min="7" max="7" width="14.140625" style="199" customWidth="1"/>
    <col min="8" max="12" width="12.421875" style="199" customWidth="1"/>
    <col min="13" max="13" width="14.421875" style="171" customWidth="1"/>
    <col min="14" max="14" width="9.140625" style="170" customWidth="1"/>
    <col min="15" max="16384" width="9.140625" style="171" customWidth="1"/>
  </cols>
  <sheetData>
    <row r="1" spans="1:14" s="168" customFormat="1" ht="45" customHeight="1" thickBot="1" thickTop="1">
      <c r="A1" s="823" t="s">
        <v>234</v>
      </c>
      <c r="B1" s="826" t="s">
        <v>187</v>
      </c>
      <c r="C1" s="826"/>
      <c r="D1" s="826"/>
      <c r="E1" s="827"/>
      <c r="F1" s="165" t="s">
        <v>263</v>
      </c>
      <c r="G1" s="165" t="s">
        <v>264</v>
      </c>
      <c r="H1" s="165" t="s">
        <v>265</v>
      </c>
      <c r="I1" s="92" t="s">
        <v>343</v>
      </c>
      <c r="J1" s="92" t="s">
        <v>344</v>
      </c>
      <c r="K1" s="92" t="s">
        <v>346</v>
      </c>
      <c r="L1" s="92" t="s">
        <v>345</v>
      </c>
      <c r="M1" s="166" t="s">
        <v>25</v>
      </c>
      <c r="N1" s="167"/>
    </row>
    <row r="2" spans="1:16" ht="15" customHeight="1" thickTop="1">
      <c r="A2" s="824"/>
      <c r="B2" s="828" t="s">
        <v>38</v>
      </c>
      <c r="C2" s="830" t="s">
        <v>235</v>
      </c>
      <c r="D2" s="831"/>
      <c r="E2" s="169" t="s">
        <v>236</v>
      </c>
      <c r="F2" s="832">
        <v>7</v>
      </c>
      <c r="G2" s="834">
        <v>2</v>
      </c>
      <c r="H2" s="834">
        <v>3</v>
      </c>
      <c r="I2" s="834">
        <v>2</v>
      </c>
      <c r="J2" s="834">
        <v>2</v>
      </c>
      <c r="K2" s="834">
        <v>7</v>
      </c>
      <c r="L2" s="834">
        <v>5</v>
      </c>
      <c r="M2" s="844">
        <f>SUM(F2:L3)</f>
        <v>28</v>
      </c>
      <c r="O2" s="846" t="s">
        <v>193</v>
      </c>
      <c r="P2" s="846"/>
    </row>
    <row r="3" spans="1:16" ht="49.5" customHeight="1">
      <c r="A3" s="824"/>
      <c r="B3" s="829"/>
      <c r="C3" s="847">
        <v>0.28</v>
      </c>
      <c r="D3" s="848"/>
      <c r="E3" s="172"/>
      <c r="F3" s="833"/>
      <c r="G3" s="835"/>
      <c r="H3" s="835"/>
      <c r="I3" s="835"/>
      <c r="J3" s="835"/>
      <c r="K3" s="835"/>
      <c r="L3" s="835"/>
      <c r="M3" s="845"/>
      <c r="O3" s="846"/>
      <c r="P3" s="846"/>
    </row>
    <row r="4" spans="1:13" ht="12.75" customHeight="1">
      <c r="A4" s="824"/>
      <c r="B4" s="829"/>
      <c r="C4" s="849" t="s">
        <v>235</v>
      </c>
      <c r="D4" s="850"/>
      <c r="E4" s="173" t="s">
        <v>253</v>
      </c>
      <c r="F4" s="833">
        <v>2</v>
      </c>
      <c r="G4" s="835">
        <v>4</v>
      </c>
      <c r="H4" s="835">
        <v>1</v>
      </c>
      <c r="I4" s="835">
        <v>4</v>
      </c>
      <c r="J4" s="835">
        <v>4</v>
      </c>
      <c r="K4" s="835">
        <v>1</v>
      </c>
      <c r="L4" s="835">
        <v>2</v>
      </c>
      <c r="M4" s="845">
        <f>SUM(F4:L5)</f>
        <v>18</v>
      </c>
    </row>
    <row r="5" spans="1:13" ht="49.5" customHeight="1">
      <c r="A5" s="824"/>
      <c r="B5" s="829"/>
      <c r="C5" s="847">
        <v>0.28</v>
      </c>
      <c r="D5" s="848"/>
      <c r="E5" s="172"/>
      <c r="F5" s="833"/>
      <c r="G5" s="835"/>
      <c r="H5" s="835"/>
      <c r="I5" s="835"/>
      <c r="J5" s="835"/>
      <c r="K5" s="835"/>
      <c r="L5" s="835"/>
      <c r="M5" s="845"/>
    </row>
    <row r="6" spans="1:13" ht="18.75" customHeight="1" thickBot="1">
      <c r="A6" s="824"/>
      <c r="B6" s="829"/>
      <c r="C6" s="851" t="s">
        <v>237</v>
      </c>
      <c r="D6" s="852"/>
      <c r="E6" s="853"/>
      <c r="F6" s="174">
        <f aca="true" t="shared" si="0" ref="F6:L6">SUM(F2:F5)</f>
        <v>9</v>
      </c>
      <c r="G6" s="175">
        <f t="shared" si="0"/>
        <v>6</v>
      </c>
      <c r="H6" s="175">
        <f t="shared" si="0"/>
        <v>4</v>
      </c>
      <c r="I6" s="175">
        <f t="shared" si="0"/>
        <v>6</v>
      </c>
      <c r="J6" s="175">
        <f t="shared" si="0"/>
        <v>6</v>
      </c>
      <c r="K6" s="175">
        <f t="shared" si="0"/>
        <v>8</v>
      </c>
      <c r="L6" s="175">
        <f t="shared" si="0"/>
        <v>7</v>
      </c>
      <c r="M6" s="176">
        <f>SUM(F6:L6)</f>
        <v>46</v>
      </c>
    </row>
    <row r="7" spans="1:13" ht="18.75" customHeight="1">
      <c r="A7" s="824"/>
      <c r="B7" s="836" t="s">
        <v>238</v>
      </c>
      <c r="C7" s="854" t="s">
        <v>239</v>
      </c>
      <c r="D7" s="855"/>
      <c r="E7" s="856"/>
      <c r="F7" s="247">
        <v>0</v>
      </c>
      <c r="G7" s="248">
        <v>0</v>
      </c>
      <c r="H7" s="248">
        <v>0</v>
      </c>
      <c r="I7" s="248">
        <v>0</v>
      </c>
      <c r="J7" s="248">
        <v>0</v>
      </c>
      <c r="K7" s="248">
        <v>0</v>
      </c>
      <c r="L7" s="248">
        <v>0</v>
      </c>
      <c r="M7" s="177">
        <f>SUM(F7:L7)</f>
        <v>0</v>
      </c>
    </row>
    <row r="8" spans="1:13" ht="18.75" customHeight="1">
      <c r="A8" s="824"/>
      <c r="B8" s="829"/>
      <c r="C8" s="857" t="s">
        <v>240</v>
      </c>
      <c r="D8" s="858"/>
      <c r="E8" s="859"/>
      <c r="F8" s="249">
        <v>4</v>
      </c>
      <c r="G8" s="250">
        <v>4</v>
      </c>
      <c r="H8" s="250">
        <v>16</v>
      </c>
      <c r="I8" s="250">
        <v>4</v>
      </c>
      <c r="J8" s="250">
        <v>4</v>
      </c>
      <c r="K8" s="250">
        <v>14</v>
      </c>
      <c r="L8" s="250">
        <v>12</v>
      </c>
      <c r="M8" s="178">
        <f>SUM(F8:L8)</f>
        <v>58</v>
      </c>
    </row>
    <row r="9" spans="1:13" ht="18.75" customHeight="1" thickBot="1">
      <c r="A9" s="824"/>
      <c r="B9" s="837"/>
      <c r="C9" s="851" t="s">
        <v>241</v>
      </c>
      <c r="D9" s="852"/>
      <c r="E9" s="853"/>
      <c r="F9" s="174">
        <f aca="true" t="shared" si="1" ref="F9:L9">+F8/2</f>
        <v>2</v>
      </c>
      <c r="G9" s="175">
        <f t="shared" si="1"/>
        <v>2</v>
      </c>
      <c r="H9" s="175">
        <f t="shared" si="1"/>
        <v>8</v>
      </c>
      <c r="I9" s="175">
        <f t="shared" si="1"/>
        <v>2</v>
      </c>
      <c r="J9" s="175">
        <f t="shared" si="1"/>
        <v>2</v>
      </c>
      <c r="K9" s="175">
        <f t="shared" si="1"/>
        <v>7</v>
      </c>
      <c r="L9" s="175">
        <f t="shared" si="1"/>
        <v>6</v>
      </c>
      <c r="M9" s="176">
        <f>SUM(F9:L9)</f>
        <v>29</v>
      </c>
    </row>
    <row r="10" spans="1:15" ht="12.75" customHeight="1">
      <c r="A10" s="824"/>
      <c r="B10" s="836" t="s">
        <v>242</v>
      </c>
      <c r="C10" s="838" t="s">
        <v>243</v>
      </c>
      <c r="D10" s="179" t="s">
        <v>244</v>
      </c>
      <c r="E10" s="180">
        <v>0.1</v>
      </c>
      <c r="F10" s="840">
        <v>60</v>
      </c>
      <c r="G10" s="842">
        <v>30</v>
      </c>
      <c r="H10" s="842">
        <f>6*30</f>
        <v>180</v>
      </c>
      <c r="I10" s="842"/>
      <c r="J10" s="842"/>
      <c r="K10" s="842"/>
      <c r="L10" s="842"/>
      <c r="M10" s="865">
        <f>SUM(F10:L11)</f>
        <v>270</v>
      </c>
      <c r="O10" s="866"/>
    </row>
    <row r="11" spans="1:15" ht="39" customHeight="1">
      <c r="A11" s="824"/>
      <c r="B11" s="829"/>
      <c r="C11" s="839"/>
      <c r="D11" s="181"/>
      <c r="E11" s="182"/>
      <c r="F11" s="841"/>
      <c r="G11" s="843"/>
      <c r="H11" s="843"/>
      <c r="I11" s="843"/>
      <c r="J11" s="843"/>
      <c r="K11" s="843"/>
      <c r="L11" s="843"/>
      <c r="M11" s="864"/>
      <c r="O11" s="866"/>
    </row>
    <row r="12" spans="1:13" ht="12.75" customHeight="1">
      <c r="A12" s="824"/>
      <c r="B12" s="829"/>
      <c r="C12" s="860" t="s">
        <v>245</v>
      </c>
      <c r="D12" s="183" t="s">
        <v>244</v>
      </c>
      <c r="E12" s="184">
        <v>0.1</v>
      </c>
      <c r="F12" s="862">
        <v>130</v>
      </c>
      <c r="G12" s="863">
        <v>145</v>
      </c>
      <c r="H12" s="863">
        <f>10+10+63</f>
        <v>83</v>
      </c>
      <c r="I12" s="863"/>
      <c r="J12" s="863"/>
      <c r="K12" s="863"/>
      <c r="L12" s="863"/>
      <c r="M12" s="864">
        <f>SUM(F12:L13)</f>
        <v>358</v>
      </c>
    </row>
    <row r="13" spans="1:13" ht="39" customHeight="1">
      <c r="A13" s="824"/>
      <c r="B13" s="829"/>
      <c r="C13" s="861"/>
      <c r="D13" s="185"/>
      <c r="E13" s="172"/>
      <c r="F13" s="862"/>
      <c r="G13" s="863"/>
      <c r="H13" s="863"/>
      <c r="I13" s="863"/>
      <c r="J13" s="863"/>
      <c r="K13" s="863"/>
      <c r="L13" s="863"/>
      <c r="M13" s="864"/>
    </row>
    <row r="14" spans="1:13" ht="15.75" customHeight="1" thickBot="1">
      <c r="A14" s="824"/>
      <c r="B14" s="837"/>
      <c r="C14" s="851" t="s">
        <v>246</v>
      </c>
      <c r="D14" s="852"/>
      <c r="E14" s="853"/>
      <c r="F14" s="186">
        <f aca="true" t="shared" si="2" ref="F14:L14">F10*$E$10+F12*$E$12</f>
        <v>19</v>
      </c>
      <c r="G14" s="187">
        <f t="shared" si="2"/>
        <v>17.5</v>
      </c>
      <c r="H14" s="187">
        <f t="shared" si="2"/>
        <v>26.3</v>
      </c>
      <c r="I14" s="187">
        <f t="shared" si="2"/>
        <v>0</v>
      </c>
      <c r="J14" s="187">
        <f t="shared" si="2"/>
        <v>0</v>
      </c>
      <c r="K14" s="187">
        <f t="shared" si="2"/>
        <v>0</v>
      </c>
      <c r="L14" s="187">
        <f t="shared" si="2"/>
        <v>0</v>
      </c>
      <c r="M14" s="188">
        <f>SUM(F14:L14)</f>
        <v>62.8</v>
      </c>
    </row>
    <row r="15" spans="1:13" ht="12.75" customHeight="1">
      <c r="A15" s="824"/>
      <c r="B15" s="836" t="s">
        <v>247</v>
      </c>
      <c r="C15" s="838" t="s">
        <v>248</v>
      </c>
      <c r="D15" s="179" t="s">
        <v>249</v>
      </c>
      <c r="E15" s="180">
        <v>2.92</v>
      </c>
      <c r="F15" s="868">
        <f aca="true" t="shared" si="3" ref="F15:L15">F2</f>
        <v>7</v>
      </c>
      <c r="G15" s="869">
        <f t="shared" si="3"/>
        <v>2</v>
      </c>
      <c r="H15" s="869">
        <f t="shared" si="3"/>
        <v>3</v>
      </c>
      <c r="I15" s="869">
        <f t="shared" si="3"/>
        <v>2</v>
      </c>
      <c r="J15" s="869">
        <f t="shared" si="3"/>
        <v>2</v>
      </c>
      <c r="K15" s="869">
        <f t="shared" si="3"/>
        <v>7</v>
      </c>
      <c r="L15" s="869">
        <f t="shared" si="3"/>
        <v>5</v>
      </c>
      <c r="M15" s="873">
        <f>SUM(F15:L16)</f>
        <v>28</v>
      </c>
    </row>
    <row r="16" spans="1:15" ht="39" customHeight="1">
      <c r="A16" s="824"/>
      <c r="B16" s="829"/>
      <c r="C16" s="861"/>
      <c r="D16" s="189"/>
      <c r="E16" s="190"/>
      <c r="F16" s="833"/>
      <c r="G16" s="835"/>
      <c r="H16" s="835"/>
      <c r="I16" s="835"/>
      <c r="J16" s="835"/>
      <c r="K16" s="835"/>
      <c r="L16" s="835"/>
      <c r="M16" s="845"/>
      <c r="O16" s="171">
        <f>M14+M21</f>
        <v>192.71999999999997</v>
      </c>
    </row>
    <row r="17" spans="1:13" ht="12.75" customHeight="1">
      <c r="A17" s="824"/>
      <c r="B17" s="829"/>
      <c r="C17" s="860" t="s">
        <v>258</v>
      </c>
      <c r="D17" s="191" t="s">
        <v>249</v>
      </c>
      <c r="E17" s="192">
        <v>1.72</v>
      </c>
      <c r="F17" s="874">
        <f aca="true" t="shared" si="4" ref="F17:L17">F15</f>
        <v>7</v>
      </c>
      <c r="G17" s="875">
        <f t="shared" si="4"/>
        <v>2</v>
      </c>
      <c r="H17" s="875">
        <f t="shared" si="4"/>
        <v>3</v>
      </c>
      <c r="I17" s="875">
        <f t="shared" si="4"/>
        <v>2</v>
      </c>
      <c r="J17" s="875">
        <f t="shared" si="4"/>
        <v>2</v>
      </c>
      <c r="K17" s="875">
        <f t="shared" si="4"/>
        <v>7</v>
      </c>
      <c r="L17" s="875">
        <f t="shared" si="4"/>
        <v>5</v>
      </c>
      <c r="M17" s="867">
        <f>SUM(F17:L18)</f>
        <v>28</v>
      </c>
    </row>
    <row r="18" spans="1:13" ht="39" customHeight="1">
      <c r="A18" s="824"/>
      <c r="B18" s="829"/>
      <c r="C18" s="861"/>
      <c r="D18" s="193"/>
      <c r="E18" s="172"/>
      <c r="F18" s="874"/>
      <c r="G18" s="875"/>
      <c r="H18" s="875"/>
      <c r="I18" s="875"/>
      <c r="J18" s="875"/>
      <c r="K18" s="875"/>
      <c r="L18" s="875"/>
      <c r="M18" s="867"/>
    </row>
    <row r="19" spans="1:13" ht="12.75" customHeight="1">
      <c r="A19" s="824"/>
      <c r="B19" s="829"/>
      <c r="C19" s="860" t="s">
        <v>257</v>
      </c>
      <c r="D19" s="191" t="s">
        <v>249</v>
      </c>
      <c r="E19" s="192">
        <v>14.4</v>
      </c>
      <c r="F19" s="833">
        <v>0</v>
      </c>
      <c r="G19" s="835">
        <v>0</v>
      </c>
      <c r="H19" s="835">
        <v>0</v>
      </c>
      <c r="I19" s="835">
        <v>0</v>
      </c>
      <c r="J19" s="835">
        <v>0</v>
      </c>
      <c r="K19" s="835">
        <v>0</v>
      </c>
      <c r="L19" s="835">
        <v>0</v>
      </c>
      <c r="M19" s="876">
        <f>SUM(F19:L20)</f>
        <v>0</v>
      </c>
    </row>
    <row r="20" spans="1:13" ht="39" customHeight="1">
      <c r="A20" s="824"/>
      <c r="B20" s="829"/>
      <c r="C20" s="861"/>
      <c r="D20" s="193"/>
      <c r="E20" s="172"/>
      <c r="F20" s="833"/>
      <c r="G20" s="835"/>
      <c r="H20" s="835"/>
      <c r="I20" s="835"/>
      <c r="J20" s="835"/>
      <c r="K20" s="835"/>
      <c r="L20" s="835"/>
      <c r="M20" s="877"/>
    </row>
    <row r="21" spans="1:13" ht="15.75" customHeight="1" thickBot="1">
      <c r="A21" s="824"/>
      <c r="B21" s="837"/>
      <c r="C21" s="851" t="s">
        <v>250</v>
      </c>
      <c r="D21" s="852"/>
      <c r="E21" s="853"/>
      <c r="F21" s="186">
        <f aca="true" t="shared" si="5" ref="F21:L21">$E$15*F15+$E$17*F17+$E$19*F19</f>
        <v>32.48</v>
      </c>
      <c r="G21" s="187">
        <f t="shared" si="5"/>
        <v>9.28</v>
      </c>
      <c r="H21" s="187">
        <f t="shared" si="5"/>
        <v>13.92</v>
      </c>
      <c r="I21" s="187">
        <f t="shared" si="5"/>
        <v>9.28</v>
      </c>
      <c r="J21" s="187">
        <f t="shared" si="5"/>
        <v>9.28</v>
      </c>
      <c r="K21" s="187">
        <f t="shared" si="5"/>
        <v>32.48</v>
      </c>
      <c r="L21" s="187">
        <f t="shared" si="5"/>
        <v>23.2</v>
      </c>
      <c r="M21" s="194">
        <f>SUM(F21:L21)</f>
        <v>129.92</v>
      </c>
    </row>
    <row r="22" spans="1:13" ht="41.25" customHeight="1" thickBot="1">
      <c r="A22" s="825"/>
      <c r="B22" s="870" t="s">
        <v>189</v>
      </c>
      <c r="C22" s="871"/>
      <c r="D22" s="871"/>
      <c r="E22" s="872"/>
      <c r="F22" s="195"/>
      <c r="G22" s="195"/>
      <c r="H22" s="195"/>
      <c r="I22" s="195"/>
      <c r="J22" s="195"/>
      <c r="K22" s="195"/>
      <c r="L22" s="195"/>
      <c r="M22" s="196"/>
    </row>
    <row r="23" spans="6:13" ht="13.5" thickTop="1">
      <c r="F23" s="197"/>
      <c r="G23" s="197"/>
      <c r="H23" s="197"/>
      <c r="I23" s="197"/>
      <c r="J23" s="197"/>
      <c r="K23" s="197"/>
      <c r="L23" s="197"/>
      <c r="M23" s="170"/>
    </row>
    <row r="24" spans="6:13" ht="12.75">
      <c r="F24" s="198"/>
      <c r="G24" s="198"/>
      <c r="H24" s="198"/>
      <c r="I24" s="198"/>
      <c r="J24" s="198"/>
      <c r="K24" s="198"/>
      <c r="L24" s="198"/>
      <c r="M24" s="170"/>
    </row>
  </sheetData>
  <sheetProtection/>
  <mergeCells count="80">
    <mergeCell ref="L19:L20"/>
    <mergeCell ref="L2:L3"/>
    <mergeCell ref="L4:L5"/>
    <mergeCell ref="L10:L11"/>
    <mergeCell ref="L12:L13"/>
    <mergeCell ref="L15:L16"/>
    <mergeCell ref="L17:L18"/>
    <mergeCell ref="J19:J20"/>
    <mergeCell ref="K2:K3"/>
    <mergeCell ref="K4:K5"/>
    <mergeCell ref="K10:K11"/>
    <mergeCell ref="K12:K13"/>
    <mergeCell ref="K15:K16"/>
    <mergeCell ref="K17:K18"/>
    <mergeCell ref="K19:K20"/>
    <mergeCell ref="J2:J3"/>
    <mergeCell ref="J4:J5"/>
    <mergeCell ref="J15:J16"/>
    <mergeCell ref="J17:J18"/>
    <mergeCell ref="I2:I3"/>
    <mergeCell ref="I4:I5"/>
    <mergeCell ref="I10:I11"/>
    <mergeCell ref="I12:I13"/>
    <mergeCell ref="I15:I16"/>
    <mergeCell ref="I17:I18"/>
    <mergeCell ref="B22:E22"/>
    <mergeCell ref="M15:M16"/>
    <mergeCell ref="C17:C18"/>
    <mergeCell ref="F17:F18"/>
    <mergeCell ref="G17:G18"/>
    <mergeCell ref="M19:M20"/>
    <mergeCell ref="H15:H16"/>
    <mergeCell ref="H17:H18"/>
    <mergeCell ref="H19:H20"/>
    <mergeCell ref="I19:I20"/>
    <mergeCell ref="C14:E14"/>
    <mergeCell ref="B15:B21"/>
    <mergeCell ref="C15:C16"/>
    <mergeCell ref="F15:F16"/>
    <mergeCell ref="G15:G16"/>
    <mergeCell ref="C19:C20"/>
    <mergeCell ref="F19:F20"/>
    <mergeCell ref="C21:E21"/>
    <mergeCell ref="G19:G20"/>
    <mergeCell ref="F12:F13"/>
    <mergeCell ref="G12:G13"/>
    <mergeCell ref="M12:M13"/>
    <mergeCell ref="M10:M11"/>
    <mergeCell ref="O10:O11"/>
    <mergeCell ref="M17:M18"/>
    <mergeCell ref="H10:H11"/>
    <mergeCell ref="H12:H13"/>
    <mergeCell ref="J10:J11"/>
    <mergeCell ref="J12:J13"/>
    <mergeCell ref="C6:E6"/>
    <mergeCell ref="B7:B9"/>
    <mergeCell ref="C7:E7"/>
    <mergeCell ref="C8:E8"/>
    <mergeCell ref="C9:E9"/>
    <mergeCell ref="C12:C13"/>
    <mergeCell ref="M2:M3"/>
    <mergeCell ref="O2:P3"/>
    <mergeCell ref="C3:D3"/>
    <mergeCell ref="C4:D4"/>
    <mergeCell ref="F4:F5"/>
    <mergeCell ref="G4:G5"/>
    <mergeCell ref="M4:M5"/>
    <mergeCell ref="C5:D5"/>
    <mergeCell ref="H2:H3"/>
    <mergeCell ref="H4:H5"/>
    <mergeCell ref="A1:A22"/>
    <mergeCell ref="B1:E1"/>
    <mergeCell ref="B2:B6"/>
    <mergeCell ref="C2:D2"/>
    <mergeCell ref="F2:F3"/>
    <mergeCell ref="G2:G3"/>
    <mergeCell ref="B10:B14"/>
    <mergeCell ref="C10:C11"/>
    <mergeCell ref="F10:F11"/>
    <mergeCell ref="G10:G11"/>
  </mergeCells>
  <printOptions/>
  <pageMargins left="0.5118110236220472" right="0.5118110236220472" top="0.7874015748031497" bottom="0.984251968503937" header="0.31496062992125984" footer="0.31496062992125984"/>
  <pageSetup fitToHeight="1" fitToWidth="1" horizontalDpi="600" verticalDpi="600" orientation="portrait" paperSize="9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PageLayoutView="0" workbookViewId="0" topLeftCell="A4">
      <selection activeCell="D21" sqref="D21"/>
    </sheetView>
  </sheetViews>
  <sheetFormatPr defaultColWidth="9.140625" defaultRowHeight="12.75"/>
  <cols>
    <col min="1" max="1" width="13.140625" style="1" customWidth="1"/>
    <col min="2" max="2" width="30.7109375" style="1" customWidth="1"/>
    <col min="3" max="3" width="13.8515625" style="1" customWidth="1"/>
    <col min="4" max="4" width="11.57421875" style="2" customWidth="1"/>
    <col min="5" max="6" width="19.28125" style="1" customWidth="1"/>
    <col min="7" max="7" width="19.00390625" style="1" customWidth="1"/>
    <col min="8" max="8" width="19.421875" style="1" customWidth="1"/>
    <col min="9" max="16384" width="9.140625" style="1" customWidth="1"/>
  </cols>
  <sheetData>
    <row r="1" spans="1:8" ht="52.5" customHeight="1" thickBot="1">
      <c r="A1" s="889" t="s">
        <v>102</v>
      </c>
      <c r="B1" s="890"/>
      <c r="C1" s="890"/>
      <c r="D1" s="890"/>
      <c r="E1" s="890"/>
      <c r="F1" s="890"/>
      <c r="G1" s="890"/>
      <c r="H1" s="891"/>
    </row>
    <row r="2" spans="1:8" ht="18.75">
      <c r="A2" s="892" t="s">
        <v>49</v>
      </c>
      <c r="B2" s="893"/>
      <c r="C2" s="893"/>
      <c r="D2" s="893"/>
      <c r="E2" s="893"/>
      <c r="F2" s="893"/>
      <c r="G2" s="893"/>
      <c r="H2" s="894"/>
    </row>
    <row r="3" spans="1:8" ht="15">
      <c r="A3" s="24" t="s">
        <v>46</v>
      </c>
      <c r="B3" s="895" t="str">
        <f>ORÇAMENTO!B4</f>
        <v>INFRAESTRUTURA URBANA - PAVIMENTAÇÃO ASFÁLTICA </v>
      </c>
      <c r="C3" s="895"/>
      <c r="D3" s="895"/>
      <c r="E3" s="895"/>
      <c r="F3" s="895"/>
      <c r="G3" s="895"/>
      <c r="H3" s="25" t="s">
        <v>47</v>
      </c>
    </row>
    <row r="4" spans="1:8" ht="30">
      <c r="A4" s="611" t="s">
        <v>380</v>
      </c>
      <c r="B4" s="896">
        <f>'PL. ORÇ.'!I9</f>
        <v>3523.4</v>
      </c>
      <c r="C4" s="895"/>
      <c r="D4" s="895"/>
      <c r="E4" s="895"/>
      <c r="F4" s="895"/>
      <c r="G4" s="895"/>
      <c r="H4" s="897">
        <f>'BDI SERVIÇOS'!N27</f>
        <v>0.2971</v>
      </c>
    </row>
    <row r="5" spans="1:8" ht="12.75" customHeight="1">
      <c r="A5" s="24" t="s">
        <v>20</v>
      </c>
      <c r="B5" s="895" t="str">
        <f>'PL. ORÇ.'!B5</f>
        <v>BAIRRO RESIDENCIAL OLENKA - DIVERSAS RUAS </v>
      </c>
      <c r="C5" s="895"/>
      <c r="D5" s="895"/>
      <c r="E5" s="895"/>
      <c r="F5" s="895"/>
      <c r="G5" s="895"/>
      <c r="H5" s="898"/>
    </row>
    <row r="6" spans="1:8" ht="12.75" customHeight="1" thickBot="1">
      <c r="A6" s="73"/>
      <c r="B6" s="900"/>
      <c r="C6" s="900"/>
      <c r="D6" s="900"/>
      <c r="E6" s="900"/>
      <c r="F6" s="900"/>
      <c r="G6" s="900"/>
      <c r="H6" s="899"/>
    </row>
    <row r="7" spans="1:8" ht="35.25" customHeight="1" thickBot="1">
      <c r="A7" s="901" t="s">
        <v>21</v>
      </c>
      <c r="B7" s="902"/>
      <c r="C7" s="902"/>
      <c r="D7" s="902"/>
      <c r="E7" s="902"/>
      <c r="F7" s="902"/>
      <c r="G7" s="902"/>
      <c r="H7" s="903"/>
    </row>
    <row r="8" spans="1:8" ht="18.75" customHeight="1">
      <c r="A8" s="904" t="s">
        <v>22</v>
      </c>
      <c r="B8" s="904" t="s">
        <v>23</v>
      </c>
      <c r="C8" s="919" t="s">
        <v>379</v>
      </c>
      <c r="D8" s="887" t="s">
        <v>2</v>
      </c>
      <c r="E8" s="911" t="s">
        <v>24</v>
      </c>
      <c r="F8" s="912"/>
      <c r="G8" s="912"/>
      <c r="H8" s="909" t="s">
        <v>25</v>
      </c>
    </row>
    <row r="9" spans="1:8" ht="18.75" customHeight="1" thickBot="1">
      <c r="A9" s="905"/>
      <c r="B9" s="905"/>
      <c r="C9" s="920"/>
      <c r="D9" s="888"/>
      <c r="E9" s="3" t="s">
        <v>388</v>
      </c>
      <c r="F9" s="3" t="s">
        <v>386</v>
      </c>
      <c r="G9" s="3" t="s">
        <v>389</v>
      </c>
      <c r="H9" s="910"/>
    </row>
    <row r="10" spans="1:8" ht="13.5" thickBot="1">
      <c r="A10" s="913" t="s">
        <v>6</v>
      </c>
      <c r="B10" s="915" t="str">
        <f>'PL. ORÇ.'!C14</f>
        <v>IMPLANTAÇÃO ASFÁLTICA - PAVIMENTAÇÃO</v>
      </c>
      <c r="C10" s="917">
        <f>'PL. ORÇ.'!F29</f>
        <v>153126.96</v>
      </c>
      <c r="D10" s="885">
        <f>'PL. ORÇ.'!G29</f>
        <v>0.7635793969792114</v>
      </c>
      <c r="E10" s="4">
        <v>0.2</v>
      </c>
      <c r="F10" s="4">
        <v>0.4</v>
      </c>
      <c r="G10" s="4">
        <v>0.4</v>
      </c>
      <c r="H10" s="4">
        <f aca="true" t="shared" si="0" ref="H10:H15">E10+G10+F10</f>
        <v>1</v>
      </c>
    </row>
    <row r="11" spans="1:8" ht="20.25" customHeight="1" thickBot="1">
      <c r="A11" s="914"/>
      <c r="B11" s="916"/>
      <c r="C11" s="918"/>
      <c r="D11" s="886"/>
      <c r="E11" s="682">
        <f>$C$10*E10</f>
        <v>30625.392</v>
      </c>
      <c r="F11" s="682">
        <f>$C$10*F10</f>
        <v>61250.784</v>
      </c>
      <c r="G11" s="682">
        <f>$C$10*G10</f>
        <v>61250.784</v>
      </c>
      <c r="H11" s="683">
        <f t="shared" si="0"/>
        <v>153126.96000000002</v>
      </c>
    </row>
    <row r="12" spans="1:8" ht="15" customHeight="1" thickBot="1">
      <c r="A12" s="878" t="s">
        <v>12</v>
      </c>
      <c r="B12" s="879" t="str">
        <f>'PL. ORÇ.'!B28:C28</f>
        <v>ADMINISTRAÇÃO LOCAL</v>
      </c>
      <c r="C12" s="878">
        <f>'PL. ORÇ.'!F28</f>
        <v>8123.91</v>
      </c>
      <c r="D12" s="880">
        <f>'PL. ORÇ.'!G28</f>
        <v>0.04051050382580171</v>
      </c>
      <c r="E12" s="4">
        <v>0.2</v>
      </c>
      <c r="F12" s="4">
        <v>0.4</v>
      </c>
      <c r="G12" s="4">
        <v>0.4</v>
      </c>
      <c r="H12" s="4">
        <f t="shared" si="0"/>
        <v>1</v>
      </c>
    </row>
    <row r="13" spans="1:8" ht="15" customHeight="1" thickBot="1">
      <c r="A13" s="878"/>
      <c r="B13" s="879"/>
      <c r="C13" s="878"/>
      <c r="D13" s="881"/>
      <c r="E13" s="682">
        <f>C12*E12</f>
        <v>1624.7820000000002</v>
      </c>
      <c r="F13" s="682">
        <f>C12*F12</f>
        <v>3249.5640000000003</v>
      </c>
      <c r="G13" s="682">
        <f>C12*G12</f>
        <v>3249.5640000000003</v>
      </c>
      <c r="H13" s="683">
        <f t="shared" si="0"/>
        <v>8123.910000000001</v>
      </c>
    </row>
    <row r="14" spans="1:8" ht="13.5" thickBot="1">
      <c r="A14" s="878" t="s">
        <v>13</v>
      </c>
      <c r="B14" s="882" t="str">
        <f>'[1]PL.ORÇ'!B17</f>
        <v>TRANSPORTE</v>
      </c>
      <c r="C14" s="878">
        <f>'PL. ORÇ.'!F30</f>
        <v>39287.490000000005</v>
      </c>
      <c r="D14" s="884">
        <f>'PL. ORÇ.'!G30</f>
        <v>0.19591009919498698</v>
      </c>
      <c r="E14" s="4">
        <v>0.2</v>
      </c>
      <c r="F14" s="4">
        <v>0.4</v>
      </c>
      <c r="G14" s="4">
        <v>0.4</v>
      </c>
      <c r="H14" s="4">
        <f t="shared" si="0"/>
        <v>1</v>
      </c>
    </row>
    <row r="15" spans="1:8" ht="12.75">
      <c r="A15" s="878"/>
      <c r="B15" s="883"/>
      <c r="C15" s="878"/>
      <c r="D15" s="881"/>
      <c r="E15" s="682">
        <f>C14*E14</f>
        <v>7857.498000000001</v>
      </c>
      <c r="F15" s="682">
        <f>C14*F14</f>
        <v>15714.996000000003</v>
      </c>
      <c r="G15" s="682">
        <f>C14*G14</f>
        <v>15714.996000000003</v>
      </c>
      <c r="H15" s="683">
        <f t="shared" si="0"/>
        <v>39287.490000000005</v>
      </c>
    </row>
    <row r="16" spans="1:8" ht="13.5" thickBot="1">
      <c r="A16" s="906" t="s">
        <v>26</v>
      </c>
      <c r="B16" s="907"/>
      <c r="C16" s="684">
        <f>SUM(C10:C15)</f>
        <v>200538.36</v>
      </c>
      <c r="D16" s="685">
        <f>SUM(D10:D15)</f>
        <v>1</v>
      </c>
      <c r="E16" s="686">
        <f>E11</f>
        <v>30625.392</v>
      </c>
      <c r="F16" s="686">
        <f>F11</f>
        <v>61250.784</v>
      </c>
      <c r="G16" s="686">
        <f>G11</f>
        <v>61250.784</v>
      </c>
      <c r="H16" s="687">
        <f>D16</f>
        <v>1</v>
      </c>
    </row>
    <row r="17" spans="1:8" ht="14.25" thickBot="1" thickTop="1">
      <c r="A17" s="908" t="s">
        <v>27</v>
      </c>
      <c r="B17" s="908"/>
      <c r="C17" s="5"/>
      <c r="D17" s="6"/>
      <c r="E17" s="7">
        <f>E16</f>
        <v>30625.392</v>
      </c>
      <c r="F17" s="7">
        <f>F16+E17</f>
        <v>91876.176</v>
      </c>
      <c r="G17" s="7">
        <f>G16+F17</f>
        <v>153126.96000000002</v>
      </c>
      <c r="H17" s="26">
        <f>SUM(H11+H13+H15)</f>
        <v>200538.36000000004</v>
      </c>
    </row>
    <row r="18" ht="13.5" thickTop="1"/>
    <row r="20" ht="12.75">
      <c r="C20" s="8"/>
    </row>
    <row r="21" ht="12.75">
      <c r="C21" s="8"/>
    </row>
  </sheetData>
  <sheetProtection/>
  <mergeCells count="28">
    <mergeCell ref="A8:A9"/>
    <mergeCell ref="B8:B9"/>
    <mergeCell ref="A16:B16"/>
    <mergeCell ref="A17:B17"/>
    <mergeCell ref="H8:H9"/>
    <mergeCell ref="E8:G8"/>
    <mergeCell ref="A10:A11"/>
    <mergeCell ref="B10:B11"/>
    <mergeCell ref="C10:C11"/>
    <mergeCell ref="C8:C9"/>
    <mergeCell ref="D10:D11"/>
    <mergeCell ref="D8:D9"/>
    <mergeCell ref="A1:H1"/>
    <mergeCell ref="A2:H2"/>
    <mergeCell ref="B3:G3"/>
    <mergeCell ref="B4:G4"/>
    <mergeCell ref="H4:H6"/>
    <mergeCell ref="B5:G5"/>
    <mergeCell ref="B6:G6"/>
    <mergeCell ref="A7:H7"/>
    <mergeCell ref="A12:A13"/>
    <mergeCell ref="B12:B13"/>
    <mergeCell ref="C12:C13"/>
    <mergeCell ref="D12:D13"/>
    <mergeCell ref="A14:A15"/>
    <mergeCell ref="B14:B15"/>
    <mergeCell ref="C14:C15"/>
    <mergeCell ref="D14:D15"/>
  </mergeCells>
  <printOptions/>
  <pageMargins left="0.984251968503937" right="0.5118110236220472" top="0.984251968503937" bottom="0.7874015748031497" header="0.31496062992125984" footer="0.31496062992125984"/>
  <pageSetup fitToHeight="1" fitToWidth="1" horizontalDpi="600" verticalDpi="600" orientation="landscape" paperSize="9" scale="90" r:id="rId2"/>
  <headerFooter>
    <oddFooter>&amp;CJÔNATAS KACHOROSKI
Engenheiro Civil- CREA/MS 64432/D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sandro omar</dc:creator>
  <cp:keywords/>
  <dc:description/>
  <cp:lastModifiedBy>Usuário do Windows</cp:lastModifiedBy>
  <cp:lastPrinted>2022-09-08T18:47:50Z</cp:lastPrinted>
  <dcterms:created xsi:type="dcterms:W3CDTF">2001-02-23T14:46:26Z</dcterms:created>
  <dcterms:modified xsi:type="dcterms:W3CDTF">2022-09-08T18:48:13Z</dcterms:modified>
  <cp:category/>
  <cp:version/>
  <cp:contentType/>
  <cp:contentStatus/>
</cp:coreProperties>
</file>